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785" windowHeight="9210" tabRatio="599" activeTab="0"/>
  </bookViews>
  <sheets>
    <sheet name="Finanzplan" sheetId="1" r:id="rId1"/>
    <sheet name="Anlagenbuch" sheetId="2" r:id="rId2"/>
    <sheet name="Gebühren" sheetId="3" r:id="rId3"/>
    <sheet name="Grafik 10-J" sheetId="4" r:id="rId4"/>
    <sheet name="Grafik Langfristig" sheetId="5" r:id="rId5"/>
    <sheet name="Nutzungsdauern" sheetId="6" r:id="rId6"/>
    <sheet name="BKI" sheetId="7" r:id="rId7"/>
  </sheets>
  <definedNames>
    <definedName name="_xlnm.Print_Area" localSheetId="1">'Anlagenbuch'!$A$1:$P$47</definedName>
    <definedName name="_xlnm.Print_Area" localSheetId="0">'Finanzplan'!$A$1:$Q$58</definedName>
    <definedName name="_xlnm.Print_Area" localSheetId="2">'Gebühren'!$A$1:$N$34</definedName>
    <definedName name="_xlnm.Print_Area" localSheetId="3">'Grafik 10-J'!$B$1:$Q$70</definedName>
    <definedName name="Investitionssumme">'Anlagenbuch'!$DF$7</definedName>
    <definedName name="kalk_Zinsen">'Anlagenbuch'!#REF!</definedName>
    <definedName name="ordentliche_Abschr_alt">'Anlagenbuch'!$R$7</definedName>
    <definedName name="ordentliche_Abschr_neu">'Anlagenbuch'!#REF!</definedName>
    <definedName name="zusätzliche_Abschr">'Anlagenbuch'!$BM$7</definedName>
  </definedNames>
  <calcPr fullCalcOnLoad="1"/>
</workbook>
</file>

<file path=xl/comments1.xml><?xml version="1.0" encoding="utf-8"?>
<comments xmlns="http://schemas.openxmlformats.org/spreadsheetml/2006/main">
  <authors>
    <author>Langenegger</author>
    <author>Norbert B?rge</author>
  </authors>
  <commentList>
    <comment ref="C53" authorId="0">
      <text>
        <r>
          <rPr>
            <sz val="8"/>
            <rFont val="Tahoma"/>
            <family val="0"/>
          </rPr>
          <t xml:space="preserve">
positives Vorzeichen = Eigenkapital
negatives Vorzeichen = Fehlbetrag</t>
        </r>
      </text>
    </comment>
    <comment ref="G4" authorId="1">
      <text>
        <r>
          <rPr>
            <b/>
            <sz val="8"/>
            <rFont val="Tahoma"/>
            <family val="0"/>
          </rPr>
          <t xml:space="preserve">Eingabe des Jahres vor der Umstellung auf BAV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Einmalige Eingabe!</t>
        </r>
      </text>
    </comment>
  </commentList>
</comments>
</file>

<file path=xl/comments2.xml><?xml version="1.0" encoding="utf-8"?>
<comments xmlns="http://schemas.openxmlformats.org/spreadsheetml/2006/main">
  <authors>
    <author>Langenegger</author>
    <author>AWELGS</author>
    <author>Norbert B?rge</author>
  </authors>
  <commentList>
    <comment ref="J39" authorId="0">
      <text>
        <r>
          <rPr>
            <b/>
            <sz val="10"/>
            <rFont val="Tahoma"/>
            <family val="2"/>
          </rPr>
          <t>Ist dieser Wert grösser als der Restbuchwert gemäss Fibu --&gt;  manuelle Eingabe in Spalte I</t>
        </r>
      </text>
    </comment>
    <comment ref="G39" authorId="0">
      <text>
        <r>
          <rPr>
            <b/>
            <sz val="10"/>
            <rFont val="Tahoma"/>
            <family val="2"/>
          </rPr>
          <t>durchschnittliches Alter der Anlagen in Jahren</t>
        </r>
      </text>
    </comment>
    <comment ref="B33" authorId="1">
      <text>
        <r>
          <rPr>
            <b/>
            <sz val="10"/>
            <rFont val="Tahoma"/>
            <family val="2"/>
          </rPr>
          <t>Erfassung von Investitionen nach Umstellung auf lineare Abschreibung</t>
        </r>
      </text>
    </comment>
    <comment ref="B10" authorId="1">
      <text>
        <r>
          <rPr>
            <b/>
            <sz val="10"/>
            <rFont val="Tahoma"/>
            <family val="2"/>
          </rPr>
          <t>Erfassung der bestehenden Anlagen vor Umstellung von degressiver auf lineare Abschreibung</t>
        </r>
      </text>
    </comment>
    <comment ref="M39" authorId="2">
      <text>
        <r>
          <rPr>
            <b/>
            <sz val="10"/>
            <rFont val="Tahoma"/>
            <family val="2"/>
          </rPr>
          <t>Durchschnittliche Restnutzungsdauer in Jahren</t>
        </r>
      </text>
    </comment>
    <comment ref="J41" authorId="2">
      <text>
        <r>
          <rPr>
            <b/>
            <sz val="12"/>
            <color indexed="10"/>
            <rFont val="Tahoma"/>
            <family val="2"/>
          </rPr>
          <t>Einmalige Eingabe!</t>
        </r>
        <r>
          <rPr>
            <sz val="12"/>
            <color indexed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<sst xmlns="http://schemas.openxmlformats.org/spreadsheetml/2006/main" count="188" uniqueCount="171">
  <si>
    <t xml:space="preserve">Finanzplan </t>
  </si>
  <si>
    <t>Laufende Rechnung</t>
  </si>
  <si>
    <t>Aktiven</t>
  </si>
  <si>
    <t>Verwaltungsvermögen</t>
  </si>
  <si>
    <t>Passiven</t>
  </si>
  <si>
    <t>Bezeichnung</t>
  </si>
  <si>
    <t>Cashflow aus laufender Geschäftstätigkeit</t>
  </si>
  <si>
    <t>Gebührenberechnung</t>
  </si>
  <si>
    <t>Zinssatz</t>
  </si>
  <si>
    <t>Investitionen</t>
  </si>
  <si>
    <t>Gebührenplanung</t>
  </si>
  <si>
    <t>...</t>
  </si>
  <si>
    <t>Ansatz Fr./Jahr</t>
  </si>
  <si>
    <t>Total</t>
  </si>
  <si>
    <t>aus Grundpreisen</t>
  </si>
  <si>
    <t>aus Verbrauchspreisen</t>
  </si>
  <si>
    <t>Simulationsfaktor für Gebührenanpassung</t>
  </si>
  <si>
    <t>Planjahr</t>
  </si>
  <si>
    <t>Aufwand</t>
  </si>
  <si>
    <t>Grundstücke</t>
  </si>
  <si>
    <t>Tiefbauten</t>
  </si>
  <si>
    <t>Hochbauten</t>
  </si>
  <si>
    <t>Mobiliar, Geräte, Maschinen, Fahrzeuge</t>
  </si>
  <si>
    <t>Spezialfinanzierungen (Fehlbetrag)</t>
  </si>
  <si>
    <t>Berechnung Spezialfinanzierung</t>
  </si>
  <si>
    <t>Spezialfinanzierungen (Überschuss)</t>
  </si>
  <si>
    <t>Vorfinanzierungen</t>
  </si>
  <si>
    <t>Investitionssumme pro Jahr</t>
  </si>
  <si>
    <t>Weitere Gebühreneinnahmen</t>
  </si>
  <si>
    <t>(Anschlussgebühren, etc.)</t>
  </si>
  <si>
    <t>Total Betrieb und Wartung</t>
  </si>
  <si>
    <t>übriger Aufwand</t>
  </si>
  <si>
    <t>Ertrag (ohne Grund- und Verbrauchsgebühren)</t>
  </si>
  <si>
    <t>übriger Ertrag</t>
  </si>
  <si>
    <t>Berechnung der ordentlichen jährlichen Abschreibungen auf bestehendem Anlagevermögen</t>
  </si>
  <si>
    <t>Fremdkapital</t>
  </si>
  <si>
    <t>Finanzvermögen</t>
  </si>
  <si>
    <t>Berechnung Finanzvermögen (+) bzw. Fremdkapital (-)</t>
  </si>
  <si>
    <t>Total Passiven</t>
  </si>
  <si>
    <t>Total Aktiven</t>
  </si>
  <si>
    <t>Szenario:</t>
  </si>
  <si>
    <t>Total Netto-Aufwand (inkl. Zinsen und ordentlichen Abschreibungen)</t>
  </si>
  <si>
    <t>Jahr</t>
  </si>
  <si>
    <t>Auswertung</t>
  </si>
  <si>
    <t>Erstes Planjahr:</t>
  </si>
  <si>
    <t>IST gem. HRM</t>
  </si>
  <si>
    <t>IST  betrieblich</t>
  </si>
  <si>
    <t>Bestandesrechnung (Bilanz)</t>
  </si>
  <si>
    <t>Grundgebühren</t>
  </si>
  <si>
    <t>Anzahl</t>
  </si>
  <si>
    <t>absolut</t>
  </si>
  <si>
    <t>Veränderung</t>
  </si>
  <si>
    <t>Anlagenbuch</t>
  </si>
  <si>
    <t>Anlageninventar</t>
  </si>
  <si>
    <t>http://www.arch.ethz.ch/pmeyer/Infos/Folien/Baukostenindex_ZH.pdf</t>
  </si>
  <si>
    <t>Quellen:</t>
  </si>
  <si>
    <t>Zürcher Baukostenindex ab 1960 (1939)</t>
  </si>
  <si>
    <t>und</t>
  </si>
  <si>
    <t>Statistisches Amt der Stadt Zürich, Zürcher Index der Wohnbaukosten (ab 2003)</t>
  </si>
  <si>
    <t>http://www.baudoc.ch/7/staticpage/00/00/17/index_7.html</t>
  </si>
  <si>
    <t>Baukostenindex</t>
  </si>
  <si>
    <t>zum Vorjahr</t>
  </si>
  <si>
    <t>http://www.stadt-zuerich.ch/internet/stat/home/publikationen/regelmaessige-publikationen/jaehrlich_erscheinende/2005_WOX.ParagraphContainerList.ParagraphContainer0.ParagraphList.0013.File.pdf/WOX_04_2005.pdf</t>
  </si>
  <si>
    <t>Statistik Stadt Zürich, Wohnbaukosten</t>
  </si>
  <si>
    <t>Anlagennummer</t>
  </si>
  <si>
    <t xml:space="preserve">A </t>
  </si>
  <si>
    <t>B</t>
  </si>
  <si>
    <t>C</t>
  </si>
  <si>
    <t>D</t>
  </si>
  <si>
    <t>E</t>
  </si>
  <si>
    <t>F</t>
  </si>
  <si>
    <t>Abwasserkanäle</t>
  </si>
  <si>
    <t>Druckrohrleitungen</t>
  </si>
  <si>
    <t>Allgemein</t>
  </si>
  <si>
    <t>Maschinelle Einrichtungen (Pumpen, etc.)</t>
  </si>
  <si>
    <t>Schieber, Pegel etc.</t>
  </si>
  <si>
    <t>Abwasserreinigungsanlagen:</t>
  </si>
  <si>
    <t>Elektromechanischer Teil</t>
  </si>
  <si>
    <t>Schaltwarte (EMSRL)</t>
  </si>
  <si>
    <t>Schlammbehandlung:</t>
  </si>
  <si>
    <t>Wasserfassungen, Brunnenstuben</t>
  </si>
  <si>
    <t>Aufbereitungsanlagen</t>
  </si>
  <si>
    <t>Leitungen und Hydranten</t>
  </si>
  <si>
    <t>Reservoire</t>
  </si>
  <si>
    <t>Mess-, Steuer-, Regelungsanlagen</t>
  </si>
  <si>
    <t>G</t>
  </si>
  <si>
    <t>H</t>
  </si>
  <si>
    <t>I</t>
  </si>
  <si>
    <t>J</t>
  </si>
  <si>
    <t>K</t>
  </si>
  <si>
    <t>L</t>
  </si>
  <si>
    <t>M</t>
  </si>
  <si>
    <t>Faktor</t>
  </si>
  <si>
    <r>
      <t>Bauzone / Grundstücksfläche  in m</t>
    </r>
    <r>
      <rPr>
        <vertAlign val="superscript"/>
        <sz val="9"/>
        <rFont val="Tahoma"/>
        <family val="2"/>
      </rPr>
      <t>2</t>
    </r>
  </si>
  <si>
    <t>Mengengebühren</t>
  </si>
  <si>
    <t xml:space="preserve">Berechnung der Plan-Erlöse aufgrund </t>
  </si>
  <si>
    <t>der Mengengerüste und Tarife</t>
  </si>
  <si>
    <t>N</t>
  </si>
  <si>
    <t>Kontrolle Aktiven und Passiven</t>
  </si>
  <si>
    <t>effektive Gebührenplanung
(s. Arbeitsblatt "Gebühren")</t>
  </si>
  <si>
    <t>Erlös aus Mengen-
gebühren</t>
  </si>
  <si>
    <t>geplante Ersatz-
investition 
(in Tsd. Fr.) manuell</t>
  </si>
  <si>
    <t>Nutzungsdauern in Jahren, der Anlagenteile der Abwasserentsorgung:</t>
  </si>
  <si>
    <t>gemäss VSA</t>
  </si>
  <si>
    <t>Kanton Zürich</t>
  </si>
  <si>
    <t>Abschreibungssatz</t>
  </si>
  <si>
    <t>Kanalnetz:</t>
  </si>
  <si>
    <t>50 - 100</t>
  </si>
  <si>
    <t>30 -   50</t>
  </si>
  <si>
    <t>40 -   65</t>
  </si>
  <si>
    <t xml:space="preserve">  8 -   20</t>
  </si>
  <si>
    <t>20 -   40</t>
  </si>
  <si>
    <t xml:space="preserve">Baulicher Teil </t>
  </si>
  <si>
    <t>35 -   50</t>
  </si>
  <si>
    <t xml:space="preserve">Maschineller Teil </t>
  </si>
  <si>
    <t xml:space="preserve">Gasanlage </t>
  </si>
  <si>
    <t>16 -   25</t>
  </si>
  <si>
    <t xml:space="preserve">Maschinelle Schlammentwässerung </t>
  </si>
  <si>
    <t xml:space="preserve">Natürliche Schlammentwässerung </t>
  </si>
  <si>
    <t>30 -   40</t>
  </si>
  <si>
    <t>Sonderbauwerke (z.B. Regenüberlauf):</t>
  </si>
  <si>
    <t>Nutzungsdauern in Jahren, der Anlagenteile der Wasserversorgung:</t>
  </si>
  <si>
    <t>gemäss SVGW</t>
  </si>
  <si>
    <t>Pumpwerke, Druckreduzier-,Messschächte</t>
  </si>
  <si>
    <t>15 -   20</t>
  </si>
  <si>
    <t xml:space="preserve">  8 -   12</t>
  </si>
  <si>
    <t>10 -   20</t>
  </si>
  <si>
    <t>10 -   14</t>
  </si>
  <si>
    <t>Erlös aus Grund-
gebühren</t>
  </si>
  <si>
    <t xml:space="preserve">RB </t>
  </si>
  <si>
    <t>ARA baulicher Teil</t>
  </si>
  <si>
    <t>ARA elektromech. Teil</t>
  </si>
  <si>
    <t>ARA Schlamm baul.</t>
  </si>
  <si>
    <t>ARA Schlamm elektrom.</t>
  </si>
  <si>
    <t>Kanal 1</t>
  </si>
  <si>
    <t xml:space="preserve">PW </t>
  </si>
  <si>
    <t>Abwasserentsorgung</t>
  </si>
  <si>
    <t>Rü</t>
  </si>
  <si>
    <t>Berechnung der ordentlichen Abschreibungen auf zukünftigen Investitionen</t>
  </si>
  <si>
    <t>Gesamttotal in Tsd. Fr.</t>
  </si>
  <si>
    <t>ordentliche Abschreibungen (gem. BAV)</t>
  </si>
  <si>
    <t>Gemeinde Musterdorf</t>
  </si>
  <si>
    <t>Anschaffungs-jahr</t>
  </si>
  <si>
    <t>durchschnittli-ches Alter der Anlagen (gewichtet nach Anschaffungs-wert)</t>
  </si>
  <si>
    <t>15 (Pumpendruckltg.)</t>
  </si>
  <si>
    <t>Zinsertrag Spezialfinanzierung / Finanzvermögen</t>
  </si>
  <si>
    <t>Saldo Einlage (+) / Entnahme (-) Spezialfinanzierung</t>
  </si>
  <si>
    <t>interner Zinsaufwand (Verwaltungsvermögen)</t>
  </si>
  <si>
    <t>Neu-oder Ersatzinvestitionen</t>
  </si>
  <si>
    <t>Neukanal</t>
  </si>
  <si>
    <t>Bestehende Anlagen</t>
  </si>
  <si>
    <t>O</t>
  </si>
  <si>
    <t>P</t>
  </si>
  <si>
    <t>Umstellungsjahr:</t>
  </si>
  <si>
    <r>
      <t xml:space="preserve">Restbuchwert Fibu im </t>
    </r>
    <r>
      <rPr>
        <b/>
        <sz val="10"/>
        <rFont val="SyntaxT"/>
        <family val="0"/>
      </rPr>
      <t>Umstellungszeitpunkt</t>
    </r>
    <r>
      <rPr>
        <sz val="10"/>
        <rFont val="SyntaxT"/>
        <family val="0"/>
      </rPr>
      <t xml:space="preserve"> (in Tsd. Fr.)</t>
    </r>
  </si>
  <si>
    <t>massgeb-licher Restbuch-wert Fibu im Umstel-lungszeit-punkt</t>
  </si>
  <si>
    <t>theore-tischer Restbuch-wert
(10% degressiv)</t>
  </si>
  <si>
    <t>erhaltene Beiträge, Anschluss-gebühren
(in Tsd. Fr.)</t>
  </si>
  <si>
    <t>Rest-
nutzungs-dauer 
(in Jahren) aktuell</t>
  </si>
  <si>
    <t>geplantes Investi-tionsjahr (manuell)</t>
  </si>
  <si>
    <t>Rest-
nutzungs-dauer 
im Umstel-lungszeit-punkt</t>
  </si>
  <si>
    <t>Restbuch-wert Fibu aktuell</t>
  </si>
  <si>
    <t>Letztes abgeschlossenes Rechnungsjahr:</t>
  </si>
  <si>
    <t>Gesamtnutzungs-dauer (Jahre;
s. Blatt Nutzungs-dauern)</t>
  </si>
  <si>
    <t>Bereinigungen /
Abgrenzungen</t>
  </si>
  <si>
    <t>historischer An-schaffungswert brutto (in Tsd. Fr.)</t>
  </si>
  <si>
    <t>Restbuch-
wert Fibu (manuell)</t>
  </si>
  <si>
    <t>ordentliche lineare Abschrei-
bung pro Jahr
 (in Tsd. Fr.)</t>
  </si>
  <si>
    <t>pro EFH, Wohnung etc.</t>
  </si>
  <si>
    <r>
      <t>Frischwasserverbrauch m</t>
    </r>
    <r>
      <rPr>
        <vertAlign val="superscript"/>
        <sz val="9"/>
        <rFont val="Arial"/>
        <family val="2"/>
      </rPr>
      <t>3</t>
    </r>
  </si>
  <si>
    <r>
      <t>Ansatz Fr./m</t>
    </r>
    <r>
      <rPr>
        <vertAlign val="superscript"/>
        <sz val="9"/>
        <rFont val="Tahoma"/>
        <family val="2"/>
      </rPr>
      <t>3</t>
    </r>
  </si>
</sst>
</file>

<file path=xl/styles.xml><?xml version="1.0" encoding="utf-8"?>
<styleSheet xmlns="http://schemas.openxmlformats.org/spreadsheetml/2006/main">
  <numFmts count="3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\-#,##0\ "/>
    <numFmt numFmtId="173" formatCode="_ * #,##0_ ;_ * \-#,##0_ ;_ * &quot;-&quot;??_ ;_ @_ "/>
    <numFmt numFmtId="174" formatCode="0.0%"/>
    <numFmt numFmtId="175" formatCode="#,##0.0"/>
    <numFmt numFmtId="176" formatCode="0.0"/>
    <numFmt numFmtId="177" formatCode="[$-807]dddd\,\ d\.\ mmmm\ yyyy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 * #,##0.0_ ;_ * \-#,##0.0_ ;_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_ * #,##0.000_ ;_ * \-#,##0.000_ ;_ * &quot;-&quot;???_ ;_ @_ "/>
    <numFmt numFmtId="189" formatCode="0_ ;\-0\ "/>
    <numFmt numFmtId="190" formatCode="_ * #,##0.0_ ;_ * \-#,##0.0_ ;_ * &quot;-&quot;?_ ;_ @_ "/>
    <numFmt numFmtId="191" formatCode="yyyy\-mm\-dd;@"/>
  </numFmts>
  <fonts count="43">
    <font>
      <sz val="10"/>
      <name val="SyntaxT"/>
      <family val="0"/>
    </font>
    <font>
      <sz val="9"/>
      <name val="Arial"/>
      <family val="0"/>
    </font>
    <font>
      <b/>
      <sz val="11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0"/>
      <name val="Arial"/>
      <family val="0"/>
    </font>
    <font>
      <sz val="8"/>
      <name val="SyntaxT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9"/>
      <name val="Arial"/>
      <family val="0"/>
    </font>
    <font>
      <u val="single"/>
      <sz val="9"/>
      <name val="Tahoma"/>
      <family val="2"/>
    </font>
    <font>
      <sz val="8"/>
      <name val="Tahoma"/>
      <family val="0"/>
    </font>
    <font>
      <b/>
      <sz val="11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sz val="9"/>
      <color indexed="53"/>
      <name val="Arial"/>
      <family val="2"/>
    </font>
    <font>
      <u val="single"/>
      <sz val="16"/>
      <name val="SyntaxT"/>
      <family val="0"/>
    </font>
    <font>
      <u val="single"/>
      <sz val="14"/>
      <name val="SyntaxT"/>
      <family val="0"/>
    </font>
    <font>
      <u val="single"/>
      <sz val="10"/>
      <name val="SyntaxT"/>
      <family val="0"/>
    </font>
    <font>
      <b/>
      <u val="single"/>
      <sz val="11"/>
      <name val="Arial"/>
      <family val="2"/>
    </font>
    <font>
      <i/>
      <sz val="9"/>
      <name val="Arial"/>
      <family val="2"/>
    </font>
    <font>
      <b/>
      <u val="single"/>
      <sz val="9"/>
      <color indexed="10"/>
      <name val="Arial"/>
      <family val="2"/>
    </font>
    <font>
      <b/>
      <u val="single"/>
      <sz val="16"/>
      <name val="SyntaxT"/>
      <family val="0"/>
    </font>
    <font>
      <sz val="12"/>
      <name val="SyntaxT"/>
      <family val="0"/>
    </font>
    <font>
      <sz val="14"/>
      <name val="SyntaxT"/>
      <family val="0"/>
    </font>
    <font>
      <sz val="8"/>
      <name val="Arial"/>
      <family val="0"/>
    </font>
    <font>
      <vertAlign val="superscript"/>
      <sz val="9"/>
      <name val="Tahoma"/>
      <family val="2"/>
    </font>
    <font>
      <b/>
      <sz val="10"/>
      <name val="SyntaxT"/>
      <family val="0"/>
    </font>
    <font>
      <b/>
      <sz val="14"/>
      <name val="SyntaxT"/>
      <family val="0"/>
    </font>
    <font>
      <sz val="10"/>
      <color indexed="26"/>
      <name val="SyntaxT"/>
      <family val="0"/>
    </font>
    <font>
      <b/>
      <sz val="10"/>
      <name val="Tahoma"/>
      <family val="2"/>
    </font>
    <font>
      <u val="single"/>
      <sz val="10"/>
      <color indexed="12"/>
      <name val="SyntaxT"/>
      <family val="0"/>
    </font>
    <font>
      <u val="single"/>
      <sz val="10"/>
      <color indexed="36"/>
      <name val="SyntaxT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8"/>
      <color indexed="10"/>
      <name val="SyntaxT"/>
      <family val="0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vertAlign val="superscript"/>
      <sz val="9"/>
      <name val="Arial"/>
      <family val="2"/>
    </font>
    <font>
      <b/>
      <sz val="8"/>
      <name val="SyntaxT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dotted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tted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double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73" fontId="4" fillId="0" borderId="0" xfId="16" applyNumberFormat="1" applyFont="1" applyFill="1" applyAlignment="1">
      <alignment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73" fontId="4" fillId="0" borderId="0" xfId="16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72" fontId="1" fillId="0" borderId="0" xfId="16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6" fillId="0" borderId="0" xfId="0" applyFont="1" applyFill="1" applyBorder="1" applyAlignment="1">
      <alignment/>
    </xf>
    <xf numFmtId="172" fontId="6" fillId="0" borderId="0" xfId="16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172" fontId="6" fillId="0" borderId="3" xfId="16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1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Alignment="1">
      <alignment/>
    </xf>
    <xf numFmtId="10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4" fillId="0" borderId="0" xfId="0" applyFont="1" applyFill="1" applyBorder="1" applyAlignment="1" quotePrefix="1">
      <alignment/>
    </xf>
    <xf numFmtId="0" fontId="14" fillId="0" borderId="0" xfId="0" applyFont="1" applyFill="1" applyAlignment="1">
      <alignment/>
    </xf>
    <xf numFmtId="1" fontId="0" fillId="0" borderId="4" xfId="0" applyNumberFormat="1" applyBorder="1" applyAlignment="1">
      <alignment/>
    </xf>
    <xf numFmtId="0" fontId="0" fillId="0" borderId="0" xfId="0" applyAlignment="1">
      <alignment horizontal="right"/>
    </xf>
    <xf numFmtId="172" fontId="1" fillId="0" borderId="5" xfId="16" applyNumberFormat="1" applyFont="1" applyFill="1" applyBorder="1" applyAlignment="1">
      <alignment/>
    </xf>
    <xf numFmtId="172" fontId="6" fillId="0" borderId="5" xfId="16" applyNumberFormat="1" applyFont="1" applyFill="1" applyBorder="1" applyAlignment="1">
      <alignment/>
    </xf>
    <xf numFmtId="0" fontId="16" fillId="3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172" fontId="6" fillId="0" borderId="2" xfId="16" applyNumberFormat="1" applyFont="1" applyFill="1" applyBorder="1" applyAlignment="1">
      <alignment/>
    </xf>
    <xf numFmtId="0" fontId="22" fillId="0" borderId="0" xfId="0" applyFont="1" applyFill="1" applyAlignment="1">
      <alignment/>
    </xf>
    <xf numFmtId="172" fontId="23" fillId="0" borderId="0" xfId="16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73" fontId="4" fillId="4" borderId="4" xfId="0" applyNumberFormat="1" applyFont="1" applyFill="1" applyBorder="1" applyAlignment="1">
      <alignment/>
    </xf>
    <xf numFmtId="173" fontId="4" fillId="4" borderId="4" xfId="16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6" xfId="0" applyBorder="1" applyAlignment="1">
      <alignment horizontal="center"/>
    </xf>
    <xf numFmtId="10" fontId="0" fillId="0" borderId="5" xfId="19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10" fontId="0" fillId="0" borderId="5" xfId="19" applyNumberFormat="1" applyBorder="1" applyAlignment="1">
      <alignment/>
    </xf>
    <xf numFmtId="10" fontId="0" fillId="0" borderId="8" xfId="19" applyNumberFormat="1" applyBorder="1" applyAlignment="1">
      <alignment/>
    </xf>
    <xf numFmtId="10" fontId="0" fillId="0" borderId="5" xfId="19" applyNumberFormat="1" applyFill="1" applyBorder="1" applyAlignment="1">
      <alignment/>
    </xf>
    <xf numFmtId="0" fontId="0" fillId="0" borderId="0" xfId="0" applyAlignment="1">
      <alignment horizontal="center" wrapText="1"/>
    </xf>
    <xf numFmtId="0" fontId="1" fillId="0" borderId="9" xfId="0" applyFont="1" applyFill="1" applyBorder="1" applyAlignment="1">
      <alignment/>
    </xf>
    <xf numFmtId="1" fontId="0" fillId="0" borderId="0" xfId="0" applyNumberFormat="1" applyAlignment="1">
      <alignment/>
    </xf>
    <xf numFmtId="10" fontId="0" fillId="0" borderId="10" xfId="19" applyNumberFormat="1" applyFont="1" applyBorder="1" applyAlignment="1">
      <alignment horizontal="center"/>
    </xf>
    <xf numFmtId="10" fontId="10" fillId="0" borderId="5" xfId="19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5" borderId="0" xfId="0" applyFont="1" applyFill="1" applyAlignment="1" applyProtection="1">
      <alignment/>
      <protection locked="0"/>
    </xf>
    <xf numFmtId="0" fontId="6" fillId="5" borderId="0" xfId="0" applyFont="1" applyFill="1" applyBorder="1" applyAlignment="1" applyProtection="1">
      <alignment/>
      <protection locked="0"/>
    </xf>
    <xf numFmtId="0" fontId="15" fillId="5" borderId="0" xfId="0" applyFont="1" applyFill="1" applyAlignment="1" applyProtection="1">
      <alignment/>
      <protection locked="0"/>
    </xf>
    <xf numFmtId="172" fontId="1" fillId="5" borderId="0" xfId="16" applyNumberFormat="1" applyFont="1" applyFill="1" applyBorder="1" applyAlignment="1" applyProtection="1">
      <alignment/>
      <protection locked="0"/>
    </xf>
    <xf numFmtId="172" fontId="1" fillId="5" borderId="5" xfId="16" applyNumberFormat="1" applyFont="1" applyFill="1" applyBorder="1" applyAlignment="1" applyProtection="1">
      <alignment/>
      <protection locked="0"/>
    </xf>
    <xf numFmtId="172" fontId="1" fillId="0" borderId="0" xfId="16" applyNumberFormat="1" applyFont="1" applyFill="1" applyBorder="1" applyAlignment="1" applyProtection="1">
      <alignment/>
      <protection locked="0"/>
    </xf>
    <xf numFmtId="172" fontId="1" fillId="5" borderId="0" xfId="0" applyNumberFormat="1" applyFont="1" applyFill="1" applyBorder="1" applyAlignment="1" applyProtection="1">
      <alignment/>
      <protection locked="0"/>
    </xf>
    <xf numFmtId="0" fontId="4" fillId="5" borderId="0" xfId="0" applyFont="1" applyFill="1" applyAlignment="1" applyProtection="1">
      <alignment/>
      <protection locked="0"/>
    </xf>
    <xf numFmtId="2" fontId="4" fillId="5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9" fontId="4" fillId="5" borderId="0" xfId="0" applyNumberFormat="1" applyFont="1" applyFill="1" applyBorder="1" applyAlignment="1" applyProtection="1">
      <alignment/>
      <protection locked="0"/>
    </xf>
    <xf numFmtId="173" fontId="4" fillId="5" borderId="0" xfId="16" applyNumberFormat="1" applyFont="1" applyFill="1" applyBorder="1" applyAlignment="1" applyProtection="1">
      <alignment/>
      <protection locked="0"/>
    </xf>
    <xf numFmtId="172" fontId="6" fillId="0" borderId="1" xfId="16" applyNumberFormat="1" applyFont="1" applyFill="1" applyBorder="1" applyAlignment="1">
      <alignment/>
    </xf>
    <xf numFmtId="9" fontId="0" fillId="0" borderId="0" xfId="0" applyNumberFormat="1" applyAlignment="1">
      <alignment/>
    </xf>
    <xf numFmtId="172" fontId="6" fillId="0" borderId="6" xfId="16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0" fontId="1" fillId="5" borderId="0" xfId="0" applyNumberFormat="1" applyFont="1" applyFill="1" applyBorder="1" applyAlignment="1" applyProtection="1">
      <alignment/>
      <protection locked="0"/>
    </xf>
    <xf numFmtId="9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72" fontId="1" fillId="0" borderId="11" xfId="16" applyNumberFormat="1" applyFont="1" applyFill="1" applyBorder="1" applyAlignment="1">
      <alignment/>
    </xf>
    <xf numFmtId="172" fontId="1" fillId="0" borderId="12" xfId="16" applyNumberFormat="1" applyFont="1" applyFill="1" applyBorder="1" applyAlignment="1">
      <alignment/>
    </xf>
    <xf numFmtId="172" fontId="1" fillId="0" borderId="13" xfId="16" applyNumberFormat="1" applyFont="1" applyFill="1" applyBorder="1" applyAlignment="1">
      <alignment/>
    </xf>
    <xf numFmtId="172" fontId="6" fillId="0" borderId="11" xfId="16" applyNumberFormat="1" applyFont="1" applyFill="1" applyBorder="1" applyAlignment="1">
      <alignment/>
    </xf>
    <xf numFmtId="172" fontId="6" fillId="0" borderId="12" xfId="16" applyNumberFormat="1" applyFont="1" applyFill="1" applyBorder="1" applyAlignment="1">
      <alignment/>
    </xf>
    <xf numFmtId="172" fontId="6" fillId="0" borderId="13" xfId="16" applyNumberFormat="1" applyFont="1" applyFill="1" applyBorder="1" applyAlignment="1">
      <alignment/>
    </xf>
    <xf numFmtId="172" fontId="1" fillId="5" borderId="11" xfId="16" applyNumberFormat="1" applyFont="1" applyFill="1" applyBorder="1" applyAlignment="1" applyProtection="1">
      <alignment/>
      <protection locked="0"/>
    </xf>
    <xf numFmtId="172" fontId="1" fillId="5" borderId="12" xfId="16" applyNumberFormat="1" applyFont="1" applyFill="1" applyBorder="1" applyAlignment="1" applyProtection="1">
      <alignment/>
      <protection locked="0"/>
    </xf>
    <xf numFmtId="172" fontId="1" fillId="5" borderId="13" xfId="16" applyNumberFormat="1" applyFont="1" applyFill="1" applyBorder="1" applyAlignment="1" applyProtection="1">
      <alignment/>
      <protection locked="0"/>
    </xf>
    <xf numFmtId="0" fontId="6" fillId="3" borderId="14" xfId="16" applyNumberFormat="1" applyFont="1" applyFill="1" applyBorder="1" applyAlignment="1">
      <alignment horizontal="center"/>
    </xf>
    <xf numFmtId="0" fontId="6" fillId="3" borderId="15" xfId="16" applyNumberFormat="1" applyFont="1" applyFill="1" applyBorder="1" applyAlignment="1">
      <alignment horizontal="center"/>
    </xf>
    <xf numFmtId="0" fontId="6" fillId="3" borderId="16" xfId="16" applyNumberFormat="1" applyFont="1" applyFill="1" applyBorder="1" applyAlignment="1">
      <alignment horizontal="center"/>
    </xf>
    <xf numFmtId="172" fontId="1" fillId="0" borderId="17" xfId="16" applyNumberFormat="1" applyFont="1" applyFill="1" applyBorder="1" applyAlignment="1">
      <alignment/>
    </xf>
    <xf numFmtId="172" fontId="1" fillId="0" borderId="18" xfId="16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72" fontId="1" fillId="0" borderId="19" xfId="16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72" fontId="6" fillId="0" borderId="14" xfId="16" applyNumberFormat="1" applyFont="1" applyFill="1" applyBorder="1" applyAlignment="1">
      <alignment/>
    </xf>
    <xf numFmtId="172" fontId="6" fillId="0" borderId="15" xfId="16" applyNumberFormat="1" applyFont="1" applyFill="1" applyBorder="1" applyAlignment="1">
      <alignment/>
    </xf>
    <xf numFmtId="172" fontId="6" fillId="0" borderId="16" xfId="16" applyNumberFormat="1" applyFont="1" applyFill="1" applyBorder="1" applyAlignment="1">
      <alignment/>
    </xf>
    <xf numFmtId="172" fontId="18" fillId="0" borderId="11" xfId="16" applyNumberFormat="1" applyFont="1" applyFill="1" applyBorder="1" applyAlignment="1">
      <alignment/>
    </xf>
    <xf numFmtId="172" fontId="18" fillId="0" borderId="12" xfId="16" applyNumberFormat="1" applyFont="1" applyFill="1" applyBorder="1" applyAlignment="1">
      <alignment/>
    </xf>
    <xf numFmtId="172" fontId="18" fillId="0" borderId="13" xfId="16" applyNumberFormat="1" applyFont="1" applyFill="1" applyBorder="1" applyAlignment="1">
      <alignment/>
    </xf>
    <xf numFmtId="174" fontId="1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172" fontId="1" fillId="0" borderId="3" xfId="16" applyNumberFormat="1" applyFont="1" applyFill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/>
      <protection/>
    </xf>
    <xf numFmtId="172" fontId="1" fillId="0" borderId="20" xfId="16" applyNumberFormat="1" applyFont="1" applyFill="1" applyBorder="1" applyAlignment="1" applyProtection="1">
      <alignment/>
      <protection/>
    </xf>
    <xf numFmtId="172" fontId="6" fillId="0" borderId="20" xfId="16" applyNumberFormat="1" applyFont="1" applyFill="1" applyBorder="1" applyAlignment="1" applyProtection="1">
      <alignment/>
      <protection/>
    </xf>
    <xf numFmtId="172" fontId="6" fillId="3" borderId="3" xfId="16" applyNumberFormat="1" applyFont="1" applyFill="1" applyBorder="1" applyAlignment="1" applyProtection="1">
      <alignment horizontal="center" wrapText="1"/>
      <protection/>
    </xf>
    <xf numFmtId="172" fontId="1" fillId="0" borderId="21" xfId="16" applyNumberFormat="1" applyFont="1" applyFill="1" applyBorder="1" applyAlignment="1" applyProtection="1">
      <alignment/>
      <protection/>
    </xf>
    <xf numFmtId="172" fontId="23" fillId="0" borderId="20" xfId="16" applyNumberFormat="1" applyFont="1" applyFill="1" applyBorder="1" applyAlignment="1" applyProtection="1">
      <alignment horizontal="left"/>
      <protection/>
    </xf>
    <xf numFmtId="172" fontId="6" fillId="0" borderId="3" xfId="16" applyNumberFormat="1" applyFont="1" applyFill="1" applyBorder="1" applyAlignment="1" applyProtection="1">
      <alignment/>
      <protection/>
    </xf>
    <xf numFmtId="172" fontId="1" fillId="0" borderId="20" xfId="0" applyNumberFormat="1" applyFont="1" applyFill="1" applyBorder="1" applyAlignment="1" applyProtection="1">
      <alignment/>
      <protection/>
    </xf>
    <xf numFmtId="172" fontId="18" fillId="0" borderId="20" xfId="16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172" fontId="4" fillId="0" borderId="22" xfId="0" applyNumberFormat="1" applyFont="1" applyFill="1" applyBorder="1" applyAlignment="1">
      <alignment/>
    </xf>
    <xf numFmtId="172" fontId="4" fillId="0" borderId="12" xfId="0" applyNumberFormat="1" applyFont="1" applyFill="1" applyBorder="1" applyAlignment="1">
      <alignment/>
    </xf>
    <xf numFmtId="172" fontId="5" fillId="0" borderId="23" xfId="0" applyNumberFormat="1" applyFont="1" applyFill="1" applyBorder="1" applyAlignment="1">
      <alignment/>
    </xf>
    <xf numFmtId="172" fontId="5" fillId="0" borderId="24" xfId="0" applyNumberFormat="1" applyFont="1" applyFill="1" applyBorder="1" applyAlignment="1">
      <alignment/>
    </xf>
    <xf numFmtId="172" fontId="4" fillId="0" borderId="2" xfId="0" applyNumberFormat="1" applyFont="1" applyFill="1" applyBorder="1" applyAlignment="1">
      <alignment/>
    </xf>
    <xf numFmtId="172" fontId="4" fillId="0" borderId="25" xfId="0" applyNumberFormat="1" applyFont="1" applyFill="1" applyBorder="1" applyAlignment="1">
      <alignment/>
    </xf>
    <xf numFmtId="172" fontId="5" fillId="0" borderId="26" xfId="0" applyNumberFormat="1" applyFont="1" applyFill="1" applyBorder="1" applyAlignment="1">
      <alignment/>
    </xf>
    <xf numFmtId="172" fontId="1" fillId="5" borderId="22" xfId="16" applyNumberFormat="1" applyFont="1" applyFill="1" applyBorder="1" applyAlignment="1" applyProtection="1">
      <alignment/>
      <protection locked="0"/>
    </xf>
    <xf numFmtId="172" fontId="1" fillId="0" borderId="22" xfId="16" applyNumberFormat="1" applyFont="1" applyFill="1" applyBorder="1" applyAlignment="1">
      <alignment/>
    </xf>
    <xf numFmtId="172" fontId="6" fillId="0" borderId="22" xfId="16" applyNumberFormat="1" applyFont="1" applyFill="1" applyBorder="1" applyAlignment="1">
      <alignment/>
    </xf>
    <xf numFmtId="0" fontId="6" fillId="3" borderId="27" xfId="16" applyNumberFormat="1" applyFont="1" applyFill="1" applyBorder="1" applyAlignment="1">
      <alignment horizontal="center"/>
    </xf>
    <xf numFmtId="172" fontId="1" fillId="0" borderId="28" xfId="16" applyNumberFormat="1" applyFont="1" applyFill="1" applyBorder="1" applyAlignment="1">
      <alignment/>
    </xf>
    <xf numFmtId="172" fontId="6" fillId="0" borderId="27" xfId="16" applyNumberFormat="1" applyFont="1" applyFill="1" applyBorder="1" applyAlignment="1">
      <alignment/>
    </xf>
    <xf numFmtId="172" fontId="18" fillId="0" borderId="22" xfId="16" applyNumberFormat="1" applyFont="1" applyFill="1" applyBorder="1" applyAlignment="1">
      <alignment/>
    </xf>
    <xf numFmtId="172" fontId="1" fillId="0" borderId="29" xfId="16" applyNumberFormat="1" applyFont="1" applyFill="1" applyBorder="1" applyAlignment="1">
      <alignment/>
    </xf>
    <xf numFmtId="172" fontId="6" fillId="0" borderId="29" xfId="16" applyNumberFormat="1" applyFont="1" applyFill="1" applyBorder="1" applyAlignment="1">
      <alignment/>
    </xf>
    <xf numFmtId="0" fontId="6" fillId="3" borderId="30" xfId="16" applyNumberFormat="1" applyFont="1" applyFill="1" applyBorder="1" applyAlignment="1">
      <alignment horizontal="center"/>
    </xf>
    <xf numFmtId="172" fontId="1" fillId="0" borderId="31" xfId="16" applyNumberFormat="1" applyFont="1" applyFill="1" applyBorder="1" applyAlignment="1">
      <alignment/>
    </xf>
    <xf numFmtId="172" fontId="6" fillId="0" borderId="30" xfId="16" applyNumberFormat="1" applyFont="1" applyFill="1" applyBorder="1" applyAlignment="1">
      <alignment/>
    </xf>
    <xf numFmtId="172" fontId="18" fillId="0" borderId="29" xfId="16" applyNumberFormat="1" applyFont="1" applyFill="1" applyBorder="1" applyAlignment="1">
      <alignment/>
    </xf>
    <xf numFmtId="172" fontId="1" fillId="5" borderId="29" xfId="16" applyNumberFormat="1" applyFont="1" applyFill="1" applyBorder="1" applyAlignment="1" applyProtection="1">
      <alignment/>
      <protection locked="0"/>
    </xf>
    <xf numFmtId="0" fontId="6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2" fontId="1" fillId="0" borderId="34" xfId="16" applyNumberFormat="1" applyFont="1" applyFill="1" applyBorder="1" applyAlignment="1">
      <alignment/>
    </xf>
    <xf numFmtId="173" fontId="6" fillId="0" borderId="35" xfId="16" applyNumberFormat="1" applyFont="1" applyFill="1" applyBorder="1" applyAlignment="1">
      <alignment/>
    </xf>
    <xf numFmtId="0" fontId="6" fillId="3" borderId="13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/>
    </xf>
    <xf numFmtId="172" fontId="1" fillId="0" borderId="2" xfId="16" applyNumberFormat="1" applyFont="1" applyFill="1" applyBorder="1" applyAlignment="1">
      <alignment/>
    </xf>
    <xf numFmtId="172" fontId="1" fillId="0" borderId="3" xfId="16" applyNumberFormat="1" applyFont="1" applyFill="1" applyBorder="1" applyAlignment="1" applyProtection="1">
      <alignment/>
      <protection/>
    </xf>
    <xf numFmtId="172" fontId="4" fillId="0" borderId="9" xfId="0" applyNumberFormat="1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3" fontId="0" fillId="0" borderId="12" xfId="0" applyNumberFormat="1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176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73" fontId="0" fillId="0" borderId="37" xfId="16" applyNumberFormat="1" applyBorder="1" applyAlignment="1">
      <alignment/>
    </xf>
    <xf numFmtId="0" fontId="0" fillId="0" borderId="24" xfId="0" applyBorder="1" applyAlignment="1">
      <alignment/>
    </xf>
    <xf numFmtId="1" fontId="0" fillId="0" borderId="24" xfId="0" applyNumberFormat="1" applyBorder="1" applyAlignment="1">
      <alignment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40" xfId="0" applyBorder="1" applyAlignment="1" applyProtection="1">
      <alignment/>
      <protection locked="0"/>
    </xf>
    <xf numFmtId="0" fontId="0" fillId="5" borderId="22" xfId="0" applyFill="1" applyBorder="1" applyAlignment="1" applyProtection="1">
      <alignment horizontal="center"/>
      <protection locked="0"/>
    </xf>
    <xf numFmtId="173" fontId="0" fillId="5" borderId="11" xfId="16" applyNumberFormat="1" applyFill="1" applyBorder="1" applyAlignment="1" applyProtection="1">
      <alignment horizontal="left" indent="3"/>
      <protection locked="0"/>
    </xf>
    <xf numFmtId="49" fontId="0" fillId="0" borderId="0" xfId="0" applyNumberForma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right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172" fontId="4" fillId="0" borderId="41" xfId="0" applyNumberFormat="1" applyFont="1" applyFill="1" applyBorder="1" applyAlignment="1">
      <alignment/>
    </xf>
    <xf numFmtId="172" fontId="1" fillId="5" borderId="18" xfId="16" applyNumberFormat="1" applyFont="1" applyFill="1" applyBorder="1" applyAlignment="1" applyProtection="1">
      <alignment/>
      <protection locked="0"/>
    </xf>
    <xf numFmtId="1" fontId="0" fillId="5" borderId="0" xfId="0" applyNumberFormat="1" applyFill="1" applyAlignment="1" applyProtection="1">
      <alignment/>
      <protection locked="0"/>
    </xf>
    <xf numFmtId="0" fontId="0" fillId="5" borderId="0" xfId="0" applyFill="1" applyAlignment="1" applyProtection="1">
      <alignment horizontal="left"/>
      <protection locked="0"/>
    </xf>
    <xf numFmtId="172" fontId="1" fillId="5" borderId="19" xfId="16" applyNumberFormat="1" applyFont="1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76" fontId="0" fillId="0" borderId="25" xfId="0" applyNumberFormat="1" applyBorder="1" applyAlignment="1">
      <alignment/>
    </xf>
    <xf numFmtId="176" fontId="0" fillId="0" borderId="24" xfId="0" applyNumberFormat="1" applyBorder="1" applyAlignment="1">
      <alignment/>
    </xf>
    <xf numFmtId="0" fontId="0" fillId="0" borderId="22" xfId="0" applyBorder="1" applyAlignment="1" applyProtection="1">
      <alignment/>
      <protection locked="0"/>
    </xf>
    <xf numFmtId="1" fontId="0" fillId="5" borderId="12" xfId="0" applyNumberFormat="1" applyFill="1" applyBorder="1" applyAlignment="1" applyProtection="1">
      <alignment/>
      <protection locked="0"/>
    </xf>
    <xf numFmtId="173" fontId="0" fillId="0" borderId="0" xfId="0" applyNumberFormat="1" applyAlignment="1">
      <alignment/>
    </xf>
    <xf numFmtId="173" fontId="0" fillId="0" borderId="24" xfId="0" applyNumberFormat="1" applyBorder="1" applyAlignment="1">
      <alignment/>
    </xf>
    <xf numFmtId="0" fontId="0" fillId="0" borderId="12" xfId="0" applyBorder="1" applyAlignment="1">
      <alignment horizontal="center"/>
    </xf>
    <xf numFmtId="1" fontId="32" fillId="0" borderId="12" xfId="0" applyNumberFormat="1" applyFont="1" applyFill="1" applyBorder="1" applyAlignment="1">
      <alignment/>
    </xf>
    <xf numFmtId="176" fontId="0" fillId="5" borderId="12" xfId="0" applyNumberForma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5" borderId="42" xfId="0" applyFill="1" applyBorder="1" applyAlignment="1" applyProtection="1">
      <alignment horizontal="center"/>
      <protection locked="0"/>
    </xf>
    <xf numFmtId="0" fontId="0" fillId="5" borderId="43" xfId="0" applyFill="1" applyBorder="1" applyAlignment="1" applyProtection="1">
      <alignment horizontal="left"/>
      <protection locked="0"/>
    </xf>
    <xf numFmtId="173" fontId="0" fillId="5" borderId="44" xfId="16" applyNumberFormat="1" applyFill="1" applyBorder="1" applyAlignment="1" applyProtection="1">
      <alignment horizontal="left" indent="3"/>
      <protection locked="0"/>
    </xf>
    <xf numFmtId="0" fontId="0" fillId="5" borderId="45" xfId="0" applyFill="1" applyBorder="1" applyAlignment="1" applyProtection="1">
      <alignment/>
      <protection locked="0"/>
    </xf>
    <xf numFmtId="176" fontId="0" fillId="0" borderId="46" xfId="0" applyNumberFormat="1" applyBorder="1" applyAlignment="1">
      <alignment/>
    </xf>
    <xf numFmtId="176" fontId="0" fillId="5" borderId="45" xfId="0" applyNumberFormat="1" applyFill="1" applyBorder="1" applyAlignment="1" applyProtection="1">
      <alignment/>
      <protection locked="0"/>
    </xf>
    <xf numFmtId="176" fontId="0" fillId="0" borderId="43" xfId="0" applyNumberFormat="1" applyBorder="1" applyAlignment="1">
      <alignment/>
    </xf>
    <xf numFmtId="1" fontId="0" fillId="0" borderId="45" xfId="0" applyNumberFormat="1" applyFill="1" applyBorder="1" applyAlignment="1">
      <alignment/>
    </xf>
    <xf numFmtId="176" fontId="0" fillId="0" borderId="45" xfId="0" applyNumberFormat="1" applyBorder="1" applyAlignment="1">
      <alignment/>
    </xf>
    <xf numFmtId="1" fontId="0" fillId="5" borderId="43" xfId="0" applyNumberFormat="1" applyFill="1" applyBorder="1" applyAlignment="1" applyProtection="1">
      <alignment/>
      <protection locked="0"/>
    </xf>
    <xf numFmtId="1" fontId="0" fillId="5" borderId="45" xfId="0" applyNumberFormat="1" applyFill="1" applyBorder="1" applyAlignment="1" applyProtection="1">
      <alignment/>
      <protection locked="0"/>
    </xf>
    <xf numFmtId="176" fontId="0" fillId="0" borderId="39" xfId="0" applyNumberFormat="1" applyBorder="1" applyAlignment="1">
      <alignment/>
    </xf>
    <xf numFmtId="1" fontId="0" fillId="0" borderId="40" xfId="0" applyNumberFormat="1" applyFill="1" applyBorder="1" applyAlignment="1">
      <alignment/>
    </xf>
    <xf numFmtId="176" fontId="0" fillId="0" borderId="0" xfId="0" applyNumberFormat="1" applyFill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1" fontId="32" fillId="0" borderId="0" xfId="0" applyNumberFormat="1" applyFont="1" applyFill="1" applyBorder="1" applyAlignment="1" applyProtection="1">
      <alignment/>
      <protection hidden="1"/>
    </xf>
    <xf numFmtId="1" fontId="32" fillId="0" borderId="43" xfId="0" applyNumberFormat="1" applyFont="1" applyFill="1" applyBorder="1" applyAlignment="1" applyProtection="1">
      <alignment/>
      <protection hidden="1"/>
    </xf>
    <xf numFmtId="1" fontId="32" fillId="0" borderId="25" xfId="0" applyNumberFormat="1" applyFont="1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/>
    </xf>
    <xf numFmtId="173" fontId="0" fillId="0" borderId="11" xfId="16" applyNumberFormat="1" applyFill="1" applyBorder="1" applyAlignment="1" applyProtection="1">
      <alignment horizontal="left" indent="3"/>
      <protection/>
    </xf>
    <xf numFmtId="0" fontId="0" fillId="0" borderId="12" xfId="0" applyFill="1" applyBorder="1" applyAlignment="1" applyProtection="1">
      <alignment/>
      <protection/>
    </xf>
    <xf numFmtId="176" fontId="0" fillId="0" borderId="47" xfId="0" applyNumberFormat="1" applyFill="1" applyBorder="1" applyAlignment="1" applyProtection="1">
      <alignment/>
      <protection/>
    </xf>
    <xf numFmtId="1" fontId="0" fillId="0" borderId="48" xfId="0" applyNumberFormat="1" applyFill="1" applyBorder="1" applyAlignment="1" applyProtection="1">
      <alignment/>
      <protection/>
    </xf>
    <xf numFmtId="176" fontId="0" fillId="0" borderId="49" xfId="0" applyNumberFormat="1" applyFill="1" applyBorder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76" fontId="30" fillId="0" borderId="24" xfId="0" applyNumberFormat="1" applyFont="1" applyBorder="1" applyAlignment="1">
      <alignment/>
    </xf>
    <xf numFmtId="0" fontId="15" fillId="0" borderId="0" xfId="0" applyFont="1" applyFill="1" applyAlignment="1" applyProtection="1">
      <alignment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45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/>
    </xf>
    <xf numFmtId="0" fontId="30" fillId="0" borderId="0" xfId="0" applyFont="1" applyFill="1" applyAlignment="1">
      <alignment horizontal="center"/>
    </xf>
    <xf numFmtId="0" fontId="38" fillId="0" borderId="0" xfId="0" applyNumberFormat="1" applyFont="1" applyFill="1" applyAlignment="1" applyProtection="1">
      <alignment/>
      <protection hidden="1"/>
    </xf>
    <xf numFmtId="0" fontId="30" fillId="0" borderId="0" xfId="0" applyFont="1" applyFill="1" applyAlignment="1" applyProtection="1">
      <alignment horizontal="left"/>
      <protection/>
    </xf>
    <xf numFmtId="1" fontId="0" fillId="5" borderId="12" xfId="0" applyNumberFormat="1" applyFill="1" applyBorder="1" applyAlignment="1" applyProtection="1">
      <alignment horizontal="center"/>
      <protection locked="0"/>
    </xf>
    <xf numFmtId="1" fontId="0" fillId="5" borderId="45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/>
    </xf>
    <xf numFmtId="176" fontId="30" fillId="5" borderId="4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2" borderId="13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3" fontId="4" fillId="5" borderId="0" xfId="0" applyNumberFormat="1" applyFont="1" applyFill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10-Jahres-Entwicklung Gebühren / Aufwand und Finanzvermögen / Fremdkapital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535"/>
          <c:w val="0.91075"/>
          <c:h val="0.636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Finanzplan!$B$54</c:f>
              <c:strCache>
                <c:ptCount val="1"/>
                <c:pt idx="0">
                  <c:v>Berechnung Finanzvermögen (+) bzw. Fremdkapital (-)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Finanzplan!$H$54:$Q$54</c:f>
              <c:numCache>
                <c:ptCount val="10"/>
                <c:pt idx="0">
                  <c:v>-272237.5</c:v>
                </c:pt>
                <c:pt idx="1">
                  <c:v>-229946.40625</c:v>
                </c:pt>
                <c:pt idx="2">
                  <c:v>-186069.396484375</c:v>
                </c:pt>
                <c:pt idx="3">
                  <c:v>-140546.99885253905</c:v>
                </c:pt>
                <c:pt idx="4">
                  <c:v>-93317.51130950927</c:v>
                </c:pt>
                <c:pt idx="5">
                  <c:v>-44316.917983615866</c:v>
                </c:pt>
                <c:pt idx="6">
                  <c:v>6521.197591998549</c:v>
                </c:pt>
                <c:pt idx="7">
                  <c:v>59265.742501698485</c:v>
                </c:pt>
                <c:pt idx="8">
                  <c:v>113988.20784551218</c:v>
                </c:pt>
                <c:pt idx="9">
                  <c:v>170762.7656397189</c:v>
                </c:pt>
              </c:numCache>
            </c:numRef>
          </c:val>
        </c:ser>
        <c:axId val="17172686"/>
        <c:axId val="20336447"/>
      </c:barChart>
      <c:lineChart>
        <c:grouping val="standard"/>
        <c:varyColors val="0"/>
        <c:ser>
          <c:idx val="0"/>
          <c:order val="0"/>
          <c:tx>
            <c:v>Aufwand pro Jahr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Finanzplan!$H$9:$Q$9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Finanzplan!$H$23:$Q$23</c:f>
              <c:numCache>
                <c:ptCount val="10"/>
                <c:pt idx="0">
                  <c:v>104489.6422946256</c:v>
                </c:pt>
                <c:pt idx="1">
                  <c:v>102961.0485446256</c:v>
                </c:pt>
                <c:pt idx="2">
                  <c:v>101375.13252900062</c:v>
                </c:pt>
                <c:pt idx="3">
                  <c:v>99729.74466278969</c:v>
                </c:pt>
                <c:pt idx="4">
                  <c:v>98022.65475159582</c:v>
                </c:pt>
                <c:pt idx="5">
                  <c:v>96251.54896873221</c:v>
                </c:pt>
                <c:pt idx="6">
                  <c:v>94414.02671901122</c:v>
                </c:pt>
                <c:pt idx="7">
                  <c:v>92507.59738492567</c:v>
                </c:pt>
                <c:pt idx="8">
                  <c:v>90529.67695081192</c:v>
                </c:pt>
                <c:pt idx="9">
                  <c:v>88477.58450041892</c:v>
                </c:pt>
              </c:numCache>
            </c:numRef>
          </c:val>
          <c:smooth val="0"/>
        </c:ser>
        <c:ser>
          <c:idx val="2"/>
          <c:order val="1"/>
          <c:tx>
            <c:v>effektive Gebührenplanung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solidFill>
                <a:srgbClr val="3366FF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Finanzplan!$H$9:$Q$9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Finanzplan!$H$7:$Q$7</c:f>
              <c:numCache>
                <c:ptCount val="10"/>
                <c:pt idx="0">
                  <c:v>122500</c:v>
                </c:pt>
                <c:pt idx="1">
                  <c:v>122500</c:v>
                </c:pt>
                <c:pt idx="2">
                  <c:v>122500</c:v>
                </c:pt>
                <c:pt idx="3">
                  <c:v>122500</c:v>
                </c:pt>
                <c:pt idx="4">
                  <c:v>122500</c:v>
                </c:pt>
                <c:pt idx="5">
                  <c:v>122500</c:v>
                </c:pt>
                <c:pt idx="6">
                  <c:v>122500</c:v>
                </c:pt>
                <c:pt idx="7">
                  <c:v>122500</c:v>
                </c:pt>
                <c:pt idx="8">
                  <c:v>122500</c:v>
                </c:pt>
                <c:pt idx="9">
                  <c:v>122500</c:v>
                </c:pt>
              </c:numCache>
            </c:numRef>
          </c:val>
          <c:smooth val="0"/>
        </c:ser>
        <c:marker val="1"/>
        <c:axId val="48810296"/>
        <c:axId val="36639481"/>
      </c:lineChart>
      <c:catAx>
        <c:axId val="48810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Planjahr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39481"/>
        <c:crosses val="autoZero"/>
        <c:auto val="0"/>
        <c:lblOffset val="100"/>
        <c:noMultiLvlLbl val="0"/>
      </c:catAx>
      <c:valAx>
        <c:axId val="36639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Gebühren und Kosten in Fr.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10296"/>
        <c:crossesAt val="1"/>
        <c:crossBetween val="between"/>
        <c:dispUnits/>
      </c:valAx>
      <c:catAx>
        <c:axId val="17172686"/>
        <c:scaling>
          <c:orientation val="minMax"/>
        </c:scaling>
        <c:axPos val="b"/>
        <c:delete val="1"/>
        <c:majorTickMark val="out"/>
        <c:minorTickMark val="none"/>
        <c:tickLblPos val="nextTo"/>
        <c:crossAx val="20336447"/>
        <c:crosses val="autoZero"/>
        <c:auto val="0"/>
        <c:lblOffset val="100"/>
        <c:noMultiLvlLbl val="0"/>
      </c:catAx>
      <c:valAx>
        <c:axId val="20336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9966"/>
                    </a:solidFill>
                  </a:rPr>
                  <a:t>Fremdkapital / Finanzvermögen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339966"/>
                </a:solidFill>
              </a:defRPr>
            </a:pPr>
          </a:p>
        </c:txPr>
        <c:crossAx val="17172686"/>
        <c:crosses val="max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Langfristige Entwicklung Gebühren / Aufwand und Finanzvermögen / Fremdkapital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1"/>
          <c:w val="0.9295"/>
          <c:h val="0.68275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Finanzplan!$B$54</c:f>
              <c:strCache>
                <c:ptCount val="1"/>
                <c:pt idx="0">
                  <c:v>Berechnung Finanzvermögen (+) bzw. Fremdkapital (-)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Finanzplan!$H$54:$AY$54</c:f>
              <c:numCache>
                <c:ptCount val="44"/>
                <c:pt idx="0">
                  <c:v>-272237.5</c:v>
                </c:pt>
                <c:pt idx="1">
                  <c:v>-229946.40625</c:v>
                </c:pt>
                <c:pt idx="2">
                  <c:v>-186069.396484375</c:v>
                </c:pt>
                <c:pt idx="3">
                  <c:v>-140546.99885253905</c:v>
                </c:pt>
                <c:pt idx="4">
                  <c:v>-93317.51130950927</c:v>
                </c:pt>
                <c:pt idx="5">
                  <c:v>-44316.917983615866</c:v>
                </c:pt>
                <c:pt idx="6">
                  <c:v>6521.197591998549</c:v>
                </c:pt>
                <c:pt idx="7">
                  <c:v>59265.742501698485</c:v>
                </c:pt>
                <c:pt idx="8">
                  <c:v>113988.20784551218</c:v>
                </c:pt>
                <c:pt idx="9">
                  <c:v>170762.7656397189</c:v>
                </c:pt>
                <c:pt idx="10">
                  <c:v>229666.36935120838</c:v>
                </c:pt>
                <c:pt idx="11">
                  <c:v>69778.85820187873</c:v>
                </c:pt>
                <c:pt idx="12">
                  <c:v>-125104.43461555082</c:v>
                </c:pt>
                <c:pt idx="13">
                  <c:v>-77295.85091363399</c:v>
                </c:pt>
                <c:pt idx="14">
                  <c:v>-27694.445322895263</c:v>
                </c:pt>
                <c:pt idx="15">
                  <c:v>23767.012977496168</c:v>
                </c:pt>
                <c:pt idx="16">
                  <c:v>-372841.7240358477</c:v>
                </c:pt>
                <c:pt idx="17">
                  <c:v>-754323.2886871919</c:v>
                </c:pt>
                <c:pt idx="18">
                  <c:v>-730110.4120129616</c:v>
                </c:pt>
                <c:pt idx="19">
                  <c:v>-704989.5524634477</c:v>
                </c:pt>
                <c:pt idx="20">
                  <c:v>-678926.660680827</c:v>
                </c:pt>
                <c:pt idx="21">
                  <c:v>-651886.410456358</c:v>
                </c:pt>
                <c:pt idx="22">
                  <c:v>-1123832.1508484716</c:v>
                </c:pt>
                <c:pt idx="23">
                  <c:v>-1113475.8565052892</c:v>
                </c:pt>
                <c:pt idx="24">
                  <c:v>-1102731.2011242376</c:v>
                </c:pt>
                <c:pt idx="25">
                  <c:v>-1091583.6211663967</c:v>
                </c:pt>
                <c:pt idx="26">
                  <c:v>-1080018.0069601366</c:v>
                </c:pt>
                <c:pt idx="27">
                  <c:v>-1068018.6822211416</c:v>
                </c:pt>
                <c:pt idx="28">
                  <c:v>-1055569.3828044345</c:v>
                </c:pt>
                <c:pt idx="29">
                  <c:v>-1042653.2346596008</c:v>
                </c:pt>
                <c:pt idx="30">
                  <c:v>-1029252.7309593358</c:v>
                </c:pt>
                <c:pt idx="31">
                  <c:v>-1315349.708370311</c:v>
                </c:pt>
                <c:pt idx="32">
                  <c:v>-1532175.3224341976</c:v>
                </c:pt>
                <c:pt idx="33">
                  <c:v>-1537131.8970254802</c:v>
                </c:pt>
                <c:pt idx="34">
                  <c:v>-1692274.3431639357</c:v>
                </c:pt>
                <c:pt idx="35">
                  <c:v>-1703234.6310325833</c:v>
                </c:pt>
                <c:pt idx="36">
                  <c:v>-1754605.9296963052</c:v>
                </c:pt>
                <c:pt idx="37">
                  <c:v>-3067903.6520599164</c:v>
                </c:pt>
                <c:pt idx="38">
                  <c:v>-3530450.0390121634</c:v>
                </c:pt>
                <c:pt idx="39">
                  <c:v>-4510341.915475119</c:v>
                </c:pt>
                <c:pt idx="40">
                  <c:v>-4856979.737305436</c:v>
                </c:pt>
                <c:pt idx="41">
                  <c:v>-4986616.47745439</c:v>
                </c:pt>
                <c:pt idx="42">
                  <c:v>-5166114.59535893</c:v>
                </c:pt>
                <c:pt idx="43">
                  <c:v>-5757343.89268489</c:v>
                </c:pt>
              </c:numCache>
            </c:numRef>
          </c:val>
        </c:ser>
        <c:axId val="61319874"/>
        <c:axId val="15007955"/>
      </c:barChart>
      <c:lineChart>
        <c:grouping val="standard"/>
        <c:varyColors val="0"/>
        <c:ser>
          <c:idx val="0"/>
          <c:order val="0"/>
          <c:tx>
            <c:v>Aufwand pro Jahr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Finanzplan!$H$9:$AY$9</c:f>
              <c:numCache>
                <c:ptCount val="4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  <c:pt idx="40">
                  <c:v>2048</c:v>
                </c:pt>
                <c:pt idx="41">
                  <c:v>2049</c:v>
                </c:pt>
                <c:pt idx="42">
                  <c:v>2050</c:v>
                </c:pt>
                <c:pt idx="43">
                  <c:v>2051</c:v>
                </c:pt>
              </c:numCache>
            </c:numRef>
          </c:cat>
          <c:val>
            <c:numRef>
              <c:f>Finanzplan!$H$23:$AY$23</c:f>
              <c:numCache>
                <c:ptCount val="44"/>
                <c:pt idx="0">
                  <c:v>104489.6422946256</c:v>
                </c:pt>
                <c:pt idx="1">
                  <c:v>102961.0485446256</c:v>
                </c:pt>
                <c:pt idx="2">
                  <c:v>101375.13252900062</c:v>
                </c:pt>
                <c:pt idx="3">
                  <c:v>99729.74466278969</c:v>
                </c:pt>
                <c:pt idx="4">
                  <c:v>98022.65475159582</c:v>
                </c:pt>
                <c:pt idx="5">
                  <c:v>96251.54896873221</c:v>
                </c:pt>
                <c:pt idx="6">
                  <c:v>94414.02671901122</c:v>
                </c:pt>
                <c:pt idx="7">
                  <c:v>92507.59738492567</c:v>
                </c:pt>
                <c:pt idx="8">
                  <c:v>90529.67695081192</c:v>
                </c:pt>
                <c:pt idx="9">
                  <c:v>88477.58450041892</c:v>
                </c:pt>
                <c:pt idx="10">
                  <c:v>86348.53858313616</c:v>
                </c:pt>
                <c:pt idx="11">
                  <c:v>95563.66859547046</c:v>
                </c:pt>
                <c:pt idx="12">
                  <c:v>105126.07201732422</c:v>
                </c:pt>
                <c:pt idx="13">
                  <c:v>112434.19549797784</c:v>
                </c:pt>
                <c:pt idx="14">
                  <c:v>110641.37360915595</c:v>
                </c:pt>
                <c:pt idx="15">
                  <c:v>108781.32089950325</c:v>
                </c:pt>
                <c:pt idx="16">
                  <c:v>113268.67544410184</c:v>
                </c:pt>
                <c:pt idx="17">
                  <c:v>135814.370037805</c:v>
                </c:pt>
                <c:pt idx="18">
                  <c:v>150119.9287122304</c:v>
                </c:pt>
                <c:pt idx="19">
                  <c:v>149211.9458369468</c:v>
                </c:pt>
                <c:pt idx="20">
                  <c:v>148269.91360384005</c:v>
                </c:pt>
                <c:pt idx="21">
                  <c:v>147292.55516199174</c:v>
                </c:pt>
                <c:pt idx="22">
                  <c:v>153400.86880023492</c:v>
                </c:pt>
                <c:pt idx="23">
                  <c:v>171098.83406493918</c:v>
                </c:pt>
                <c:pt idx="24">
                  <c:v>170710.47302706982</c:v>
                </c:pt>
                <c:pt idx="25">
                  <c:v>170307.5484502804</c:v>
                </c:pt>
                <c:pt idx="26">
                  <c:v>155156.18086852803</c:v>
                </c:pt>
                <c:pt idx="27">
                  <c:v>154722.47033579327</c:v>
                </c:pt>
                <c:pt idx="28">
                  <c:v>154272.49565808097</c:v>
                </c:pt>
                <c:pt idx="29">
                  <c:v>153805.64692995444</c:v>
                </c:pt>
                <c:pt idx="30">
                  <c:v>153321.2913745232</c:v>
                </c:pt>
                <c:pt idx="31">
                  <c:v>158164.3946055789</c:v>
                </c:pt>
                <c:pt idx="32">
                  <c:v>172010.79739635446</c:v>
                </c:pt>
                <c:pt idx="33">
                  <c:v>180141.7579237502</c:v>
                </c:pt>
                <c:pt idx="34">
                  <c:v>182092.54102974685</c:v>
                </c:pt>
                <c:pt idx="35">
                  <c:v>187910.38275993892</c:v>
                </c:pt>
                <c:pt idx="36">
                  <c:v>188829.31855501322</c:v>
                </c:pt>
                <c:pt idx="37">
                  <c:v>204861.78920667781</c:v>
                </c:pt>
                <c:pt idx="38">
                  <c:v>259738.89741409168</c:v>
                </c:pt>
                <c:pt idx="39">
                  <c:v>289683.2698022978</c:v>
                </c:pt>
                <c:pt idx="40">
                  <c:v>329637.56559152075</c:v>
                </c:pt>
                <c:pt idx="41">
                  <c:v>342636.4839101576</c:v>
                </c:pt>
                <c:pt idx="42">
                  <c:v>348123.2738874996</c:v>
                </c:pt>
                <c:pt idx="43">
                  <c:v>361097.75697076065</c:v>
                </c:pt>
              </c:numCache>
            </c:numRef>
          </c:val>
          <c:smooth val="0"/>
        </c:ser>
        <c:ser>
          <c:idx val="2"/>
          <c:order val="1"/>
          <c:tx>
            <c:v>effektive Gebührenplanung (s. Arbeitsblatt "Gebühren")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3366FF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Finanzplan!$H$9:$AY$9</c:f>
              <c:numCache>
                <c:ptCount val="4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  <c:pt idx="23">
                  <c:v>2031</c:v>
                </c:pt>
                <c:pt idx="24">
                  <c:v>2032</c:v>
                </c:pt>
                <c:pt idx="25">
                  <c:v>2033</c:v>
                </c:pt>
                <c:pt idx="26">
                  <c:v>2034</c:v>
                </c:pt>
                <c:pt idx="27">
                  <c:v>2035</c:v>
                </c:pt>
                <c:pt idx="28">
                  <c:v>2036</c:v>
                </c:pt>
                <c:pt idx="29">
                  <c:v>2037</c:v>
                </c:pt>
                <c:pt idx="30">
                  <c:v>2038</c:v>
                </c:pt>
                <c:pt idx="31">
                  <c:v>2039</c:v>
                </c:pt>
                <c:pt idx="32">
                  <c:v>2040</c:v>
                </c:pt>
                <c:pt idx="33">
                  <c:v>2041</c:v>
                </c:pt>
                <c:pt idx="34">
                  <c:v>2042</c:v>
                </c:pt>
                <c:pt idx="35">
                  <c:v>2043</c:v>
                </c:pt>
                <c:pt idx="36">
                  <c:v>2044</c:v>
                </c:pt>
                <c:pt idx="37">
                  <c:v>2045</c:v>
                </c:pt>
                <c:pt idx="38">
                  <c:v>2046</c:v>
                </c:pt>
                <c:pt idx="39">
                  <c:v>2047</c:v>
                </c:pt>
                <c:pt idx="40">
                  <c:v>2048</c:v>
                </c:pt>
                <c:pt idx="41">
                  <c:v>2049</c:v>
                </c:pt>
                <c:pt idx="42">
                  <c:v>2050</c:v>
                </c:pt>
                <c:pt idx="43">
                  <c:v>2051</c:v>
                </c:pt>
              </c:numCache>
            </c:numRef>
          </c:cat>
          <c:val>
            <c:numRef>
              <c:f>Finanzplan!$H$7:$AY$7</c:f>
              <c:numCache>
                <c:ptCount val="44"/>
                <c:pt idx="0">
                  <c:v>122500</c:v>
                </c:pt>
                <c:pt idx="1">
                  <c:v>122500</c:v>
                </c:pt>
                <c:pt idx="2">
                  <c:v>122500</c:v>
                </c:pt>
                <c:pt idx="3">
                  <c:v>122500</c:v>
                </c:pt>
                <c:pt idx="4">
                  <c:v>122500</c:v>
                </c:pt>
                <c:pt idx="5">
                  <c:v>122500</c:v>
                </c:pt>
                <c:pt idx="6">
                  <c:v>122500</c:v>
                </c:pt>
                <c:pt idx="7">
                  <c:v>122500</c:v>
                </c:pt>
                <c:pt idx="8">
                  <c:v>122500</c:v>
                </c:pt>
                <c:pt idx="9">
                  <c:v>122500</c:v>
                </c:pt>
                <c:pt idx="10">
                  <c:v>122500</c:v>
                </c:pt>
                <c:pt idx="11">
                  <c:v>122500</c:v>
                </c:pt>
                <c:pt idx="12">
                  <c:v>122500</c:v>
                </c:pt>
                <c:pt idx="13">
                  <c:v>122500</c:v>
                </c:pt>
                <c:pt idx="14">
                  <c:v>122500</c:v>
                </c:pt>
                <c:pt idx="15">
                  <c:v>122500</c:v>
                </c:pt>
                <c:pt idx="16">
                  <c:v>122500</c:v>
                </c:pt>
                <c:pt idx="17">
                  <c:v>122500</c:v>
                </c:pt>
                <c:pt idx="18">
                  <c:v>122500</c:v>
                </c:pt>
                <c:pt idx="19">
                  <c:v>122500</c:v>
                </c:pt>
                <c:pt idx="20">
                  <c:v>122500</c:v>
                </c:pt>
                <c:pt idx="21">
                  <c:v>122500</c:v>
                </c:pt>
                <c:pt idx="22">
                  <c:v>122500</c:v>
                </c:pt>
                <c:pt idx="23">
                  <c:v>122500</c:v>
                </c:pt>
                <c:pt idx="24">
                  <c:v>122500</c:v>
                </c:pt>
                <c:pt idx="25">
                  <c:v>122500</c:v>
                </c:pt>
                <c:pt idx="26">
                  <c:v>122500</c:v>
                </c:pt>
                <c:pt idx="27">
                  <c:v>122500</c:v>
                </c:pt>
                <c:pt idx="28">
                  <c:v>122500</c:v>
                </c:pt>
                <c:pt idx="29">
                  <c:v>122500</c:v>
                </c:pt>
                <c:pt idx="30">
                  <c:v>122500</c:v>
                </c:pt>
                <c:pt idx="31">
                  <c:v>122500</c:v>
                </c:pt>
                <c:pt idx="32">
                  <c:v>122500</c:v>
                </c:pt>
                <c:pt idx="33">
                  <c:v>122500</c:v>
                </c:pt>
                <c:pt idx="34">
                  <c:v>122500</c:v>
                </c:pt>
                <c:pt idx="35">
                  <c:v>122500</c:v>
                </c:pt>
                <c:pt idx="36">
                  <c:v>122500</c:v>
                </c:pt>
                <c:pt idx="37">
                  <c:v>122500</c:v>
                </c:pt>
                <c:pt idx="38">
                  <c:v>122500</c:v>
                </c:pt>
                <c:pt idx="39">
                  <c:v>122500</c:v>
                </c:pt>
                <c:pt idx="40">
                  <c:v>122500</c:v>
                </c:pt>
                <c:pt idx="41">
                  <c:v>122500</c:v>
                </c:pt>
                <c:pt idx="42">
                  <c:v>122500</c:v>
                </c:pt>
                <c:pt idx="43">
                  <c:v>122500</c:v>
                </c:pt>
              </c:numCache>
            </c:numRef>
          </c:val>
          <c:smooth val="0"/>
        </c:ser>
        <c:marker val="1"/>
        <c:axId val="853868"/>
        <c:axId val="7684813"/>
      </c:lineChart>
      <c:catAx>
        <c:axId val="853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Planjahr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84813"/>
        <c:crosses val="autoZero"/>
        <c:auto val="0"/>
        <c:lblOffset val="100"/>
        <c:noMultiLvlLbl val="0"/>
      </c:catAx>
      <c:valAx>
        <c:axId val="7684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Gebühren und Kosten in Fr.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3868"/>
        <c:crossesAt val="1"/>
        <c:crossBetween val="between"/>
        <c:dispUnits/>
      </c:valAx>
      <c:catAx>
        <c:axId val="61319874"/>
        <c:scaling>
          <c:orientation val="minMax"/>
        </c:scaling>
        <c:axPos val="b"/>
        <c:delete val="1"/>
        <c:majorTickMark val="out"/>
        <c:minorTickMark val="none"/>
        <c:tickLblPos val="nextTo"/>
        <c:crossAx val="15007955"/>
        <c:crosses val="autoZero"/>
        <c:auto val="0"/>
        <c:lblOffset val="100"/>
        <c:noMultiLvlLbl val="0"/>
      </c:catAx>
      <c:valAx>
        <c:axId val="15007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9966"/>
                    </a:solidFill>
                  </a:rPr>
                  <a:t> Fremdkapital / Finanzvermögen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339966"/>
                </a:solidFill>
              </a:defRPr>
            </a:pPr>
          </a:p>
        </c:txPr>
        <c:crossAx val="61319874"/>
        <c:crosses val="max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5"/>
          <c:y val="0.82575"/>
          <c:w val="0.53375"/>
          <c:h val="0.1742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657225</xdr:colOff>
      <xdr:row>38</xdr:row>
      <xdr:rowOff>161925</xdr:rowOff>
    </xdr:from>
    <xdr:to>
      <xdr:col>9</xdr:col>
      <xdr:colOff>657225</xdr:colOff>
      <xdr:row>40</xdr:row>
      <xdr:rowOff>19050</xdr:rowOff>
    </xdr:to>
    <xdr:sp>
      <xdr:nvSpPr>
        <xdr:cNvPr id="1" name="Line 22"/>
        <xdr:cNvSpPr>
          <a:spLocks/>
        </xdr:cNvSpPr>
      </xdr:nvSpPr>
      <xdr:spPr>
        <a:xfrm>
          <a:off x="9877425" y="75342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ntaxT"/>
              <a:ea typeface="SyntaxT"/>
              <a:cs typeface="Syntax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114300</xdr:rowOff>
    </xdr:from>
    <xdr:to>
      <xdr:col>14</xdr:col>
      <xdr:colOff>238125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47650" y="581025"/>
        <a:ext cx="83915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4"/>
  <sheetViews>
    <sheetView showGridLines="0" showZeros="0" tabSelected="1" zoomScale="85" zoomScaleNormal="85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D17" sqref="D17"/>
    </sheetView>
  </sheetViews>
  <sheetFormatPr defaultColWidth="11.00390625" defaultRowHeight="12.75" outlineLevelRow="1"/>
  <cols>
    <col min="1" max="1" width="7.125" style="22" customWidth="1"/>
    <col min="2" max="2" width="6.25390625" style="22" customWidth="1"/>
    <col min="3" max="3" width="33.125" style="22" customWidth="1"/>
    <col min="4" max="4" width="7.75390625" style="22" customWidth="1"/>
    <col min="5" max="5" width="11.125" style="22" customWidth="1"/>
    <col min="6" max="6" width="15.375" style="22" customWidth="1"/>
    <col min="7" max="9" width="11.125" style="22" customWidth="1"/>
    <col min="10" max="10" width="11.625" style="22" bestFit="1" customWidth="1"/>
    <col min="11" max="11" width="12.125" style="22" bestFit="1" customWidth="1"/>
    <col min="12" max="12" width="11.625" style="22" bestFit="1" customWidth="1"/>
    <col min="13" max="16" width="11.375" style="22" bestFit="1" customWidth="1"/>
    <col min="17" max="18" width="11.125" style="22" customWidth="1"/>
    <col min="19" max="21" width="10.875" style="22" bestFit="1" customWidth="1"/>
    <col min="22" max="22" width="11.25390625" style="22" bestFit="1" customWidth="1"/>
    <col min="23" max="26" width="11.25390625" style="22" customWidth="1"/>
    <col min="27" max="28" width="12.75390625" style="22" customWidth="1"/>
    <col min="29" max="51" width="12.75390625" style="27" customWidth="1"/>
    <col min="52" max="16384" width="7.75390625" style="27" customWidth="1"/>
  </cols>
  <sheetData>
    <row r="1" spans="1:9" ht="24" customHeight="1">
      <c r="A1" s="61" t="s">
        <v>0</v>
      </c>
      <c r="C1" s="89" t="s">
        <v>141</v>
      </c>
      <c r="D1" s="52"/>
      <c r="E1" s="52"/>
      <c r="F1" s="23" t="s">
        <v>40</v>
      </c>
      <c r="G1" s="91">
        <v>1</v>
      </c>
      <c r="H1" s="52"/>
      <c r="I1" s="52"/>
    </row>
    <row r="2" spans="3:22" ht="21" customHeight="1">
      <c r="C2" s="90" t="s">
        <v>136</v>
      </c>
      <c r="F2" s="7" t="s">
        <v>44</v>
      </c>
      <c r="G2" s="261">
        <f>G3+1</f>
        <v>2008</v>
      </c>
      <c r="K2" s="24"/>
      <c r="L2" s="25"/>
      <c r="M2" s="24"/>
      <c r="R2" s="7"/>
      <c r="S2" s="7"/>
      <c r="T2" s="7"/>
      <c r="U2" s="7"/>
      <c r="V2" s="26"/>
    </row>
    <row r="3" spans="3:22" ht="21" customHeight="1">
      <c r="C3" s="272" t="s">
        <v>162</v>
      </c>
      <c r="D3" s="272"/>
      <c r="E3" s="272"/>
      <c r="F3" s="272"/>
      <c r="G3" s="91">
        <v>2007</v>
      </c>
      <c r="K3" s="24"/>
      <c r="L3" s="25"/>
      <c r="M3" s="24"/>
      <c r="R3" s="7"/>
      <c r="S3" s="7"/>
      <c r="T3" s="7"/>
      <c r="U3" s="7"/>
      <c r="V3" s="26"/>
    </row>
    <row r="4" spans="3:28" ht="21" customHeight="1">
      <c r="C4" s="34"/>
      <c r="D4" s="272" t="s">
        <v>153</v>
      </c>
      <c r="E4" s="272"/>
      <c r="F4" s="8">
        <f>G4+1</f>
        <v>2008</v>
      </c>
      <c r="G4" s="91">
        <v>2007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3:5" ht="12">
      <c r="C5" s="8"/>
      <c r="D5" s="27"/>
      <c r="E5" s="27"/>
    </row>
    <row r="6" spans="1:51" ht="12.75" thickBot="1">
      <c r="A6" s="27"/>
      <c r="B6" s="27" t="s">
        <v>7</v>
      </c>
      <c r="C6" s="27"/>
      <c r="D6" s="27"/>
      <c r="E6" s="175"/>
      <c r="F6" s="175"/>
      <c r="G6" s="176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</row>
    <row r="7" spans="1:51" s="278" customFormat="1" ht="24.75" thickBot="1">
      <c r="A7" s="276"/>
      <c r="B7" s="276"/>
      <c r="C7" s="136" t="s">
        <v>99</v>
      </c>
      <c r="D7" s="277"/>
      <c r="H7" s="178">
        <f>Gebühren!E33</f>
        <v>122500</v>
      </c>
      <c r="I7" s="178">
        <f>Gebühren!F33</f>
        <v>122500</v>
      </c>
      <c r="J7" s="178">
        <f>Gebühren!G33</f>
        <v>122500</v>
      </c>
      <c r="K7" s="178">
        <f>Gebühren!H33</f>
        <v>122500</v>
      </c>
      <c r="L7" s="178">
        <f>Gebühren!I33</f>
        <v>122500</v>
      </c>
      <c r="M7" s="178">
        <f>Gebühren!J33</f>
        <v>122500</v>
      </c>
      <c r="N7" s="178">
        <f>Gebühren!K33</f>
        <v>122500</v>
      </c>
      <c r="O7" s="178">
        <f>Gebühren!L33</f>
        <v>122500</v>
      </c>
      <c r="P7" s="178">
        <f>Gebühren!M33</f>
        <v>122500</v>
      </c>
      <c r="Q7" s="178">
        <f>Gebühren!N33</f>
        <v>122500</v>
      </c>
      <c r="R7" s="178">
        <f>Gebühren!O33</f>
        <v>122500</v>
      </c>
      <c r="S7" s="178">
        <f>Gebühren!P33</f>
        <v>122500</v>
      </c>
      <c r="T7" s="178">
        <f>Gebühren!Q33</f>
        <v>122500</v>
      </c>
      <c r="U7" s="178">
        <f>Gebühren!R33</f>
        <v>122500</v>
      </c>
      <c r="V7" s="178">
        <f>Gebühren!S33</f>
        <v>122500</v>
      </c>
      <c r="W7" s="178">
        <f>Gebühren!T33</f>
        <v>122500</v>
      </c>
      <c r="X7" s="178">
        <f>Gebühren!U33</f>
        <v>122500</v>
      </c>
      <c r="Y7" s="178">
        <f>Gebühren!V33</f>
        <v>122500</v>
      </c>
      <c r="Z7" s="178">
        <f>Gebühren!W33</f>
        <v>122500</v>
      </c>
      <c r="AA7" s="178">
        <f>Gebühren!X33</f>
        <v>122500</v>
      </c>
      <c r="AB7" s="178">
        <f>Gebühren!Y33</f>
        <v>122500</v>
      </c>
      <c r="AC7" s="178">
        <f>Gebühren!Z33</f>
        <v>122500</v>
      </c>
      <c r="AD7" s="178">
        <f>Gebühren!AA33</f>
        <v>122500</v>
      </c>
      <c r="AE7" s="178">
        <f>Gebühren!AB33</f>
        <v>122500</v>
      </c>
      <c r="AF7" s="178">
        <f>Gebühren!AC33</f>
        <v>122500</v>
      </c>
      <c r="AG7" s="178">
        <f>Gebühren!AD33</f>
        <v>122500</v>
      </c>
      <c r="AH7" s="178">
        <f>Gebühren!AE33</f>
        <v>122500</v>
      </c>
      <c r="AI7" s="178">
        <f>Gebühren!AF33</f>
        <v>122500</v>
      </c>
      <c r="AJ7" s="178">
        <f>Gebühren!AG33</f>
        <v>122500</v>
      </c>
      <c r="AK7" s="178">
        <f>Gebühren!AH33</f>
        <v>122500</v>
      </c>
      <c r="AL7" s="178">
        <f>Gebühren!AI33</f>
        <v>122500</v>
      </c>
      <c r="AM7" s="178">
        <f>Gebühren!AJ33</f>
        <v>122500</v>
      </c>
      <c r="AN7" s="178">
        <f>Gebühren!AK33</f>
        <v>122500</v>
      </c>
      <c r="AO7" s="178">
        <f>Gebühren!AL33</f>
        <v>122500</v>
      </c>
      <c r="AP7" s="178">
        <f>Gebühren!AM33</f>
        <v>122500</v>
      </c>
      <c r="AQ7" s="178">
        <f>Gebühren!AN33</f>
        <v>122500</v>
      </c>
      <c r="AR7" s="178">
        <f>Gebühren!AO33</f>
        <v>122500</v>
      </c>
      <c r="AS7" s="178">
        <f>Gebühren!AP33</f>
        <v>122500</v>
      </c>
      <c r="AT7" s="178">
        <f>Gebühren!AQ33</f>
        <v>122500</v>
      </c>
      <c r="AU7" s="178">
        <f>Gebühren!AR33</f>
        <v>122500</v>
      </c>
      <c r="AV7" s="178">
        <f>Gebühren!AS33</f>
        <v>122500</v>
      </c>
      <c r="AW7" s="178">
        <f>Gebühren!AT33</f>
        <v>122500</v>
      </c>
      <c r="AX7" s="178">
        <f>Gebühren!AU33</f>
        <v>122500</v>
      </c>
      <c r="AY7" s="178">
        <f>Gebühren!AV33</f>
        <v>122500</v>
      </c>
    </row>
    <row r="8" spans="3:51" ht="12">
      <c r="C8" s="27"/>
      <c r="D8" s="27"/>
      <c r="E8" s="29"/>
      <c r="F8" s="29"/>
      <c r="G8" s="182">
        <f>G3</f>
        <v>2007</v>
      </c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</row>
    <row r="9" spans="1:51" ht="24">
      <c r="A9" s="30" t="s">
        <v>1</v>
      </c>
      <c r="B9" s="30"/>
      <c r="C9" s="31"/>
      <c r="D9" s="104"/>
      <c r="E9" s="180" t="s">
        <v>45</v>
      </c>
      <c r="F9" s="275" t="s">
        <v>164</v>
      </c>
      <c r="G9" s="170" t="s">
        <v>46</v>
      </c>
      <c r="H9" s="171">
        <f>G2</f>
        <v>2008</v>
      </c>
      <c r="I9" s="171">
        <f>H9+1</f>
        <v>2009</v>
      </c>
      <c r="J9" s="171">
        <f aca="true" t="shared" si="0" ref="J9:AB9">I9+1</f>
        <v>2010</v>
      </c>
      <c r="K9" s="171">
        <f t="shared" si="0"/>
        <v>2011</v>
      </c>
      <c r="L9" s="171">
        <f t="shared" si="0"/>
        <v>2012</v>
      </c>
      <c r="M9" s="171">
        <f t="shared" si="0"/>
        <v>2013</v>
      </c>
      <c r="N9" s="171">
        <f t="shared" si="0"/>
        <v>2014</v>
      </c>
      <c r="O9" s="171">
        <f t="shared" si="0"/>
        <v>2015</v>
      </c>
      <c r="P9" s="171">
        <f t="shared" si="0"/>
        <v>2016</v>
      </c>
      <c r="Q9" s="172">
        <f t="shared" si="0"/>
        <v>2017</v>
      </c>
      <c r="R9" s="173">
        <f t="shared" si="0"/>
        <v>2018</v>
      </c>
      <c r="S9" s="171">
        <f t="shared" si="0"/>
        <v>2019</v>
      </c>
      <c r="T9" s="171">
        <f t="shared" si="0"/>
        <v>2020</v>
      </c>
      <c r="U9" s="171">
        <f t="shared" si="0"/>
        <v>2021</v>
      </c>
      <c r="V9" s="171">
        <f t="shared" si="0"/>
        <v>2022</v>
      </c>
      <c r="W9" s="171">
        <f t="shared" si="0"/>
        <v>2023</v>
      </c>
      <c r="X9" s="171">
        <f t="shared" si="0"/>
        <v>2024</v>
      </c>
      <c r="Y9" s="171">
        <f t="shared" si="0"/>
        <v>2025</v>
      </c>
      <c r="Z9" s="171">
        <f t="shared" si="0"/>
        <v>2026</v>
      </c>
      <c r="AA9" s="171">
        <f t="shared" si="0"/>
        <v>2027</v>
      </c>
      <c r="AB9" s="174">
        <f t="shared" si="0"/>
        <v>2028</v>
      </c>
      <c r="AC9" s="171">
        <f aca="true" t="shared" si="1" ref="AC9:AY9">AB9+1</f>
        <v>2029</v>
      </c>
      <c r="AD9" s="174">
        <f t="shared" si="1"/>
        <v>2030</v>
      </c>
      <c r="AE9" s="171">
        <f t="shared" si="1"/>
        <v>2031</v>
      </c>
      <c r="AF9" s="174">
        <f t="shared" si="1"/>
        <v>2032</v>
      </c>
      <c r="AG9" s="171">
        <f t="shared" si="1"/>
        <v>2033</v>
      </c>
      <c r="AH9" s="174">
        <f t="shared" si="1"/>
        <v>2034</v>
      </c>
      <c r="AI9" s="171">
        <f t="shared" si="1"/>
        <v>2035</v>
      </c>
      <c r="AJ9" s="174">
        <f t="shared" si="1"/>
        <v>2036</v>
      </c>
      <c r="AK9" s="171">
        <f t="shared" si="1"/>
        <v>2037</v>
      </c>
      <c r="AL9" s="174">
        <f t="shared" si="1"/>
        <v>2038</v>
      </c>
      <c r="AM9" s="171">
        <f t="shared" si="1"/>
        <v>2039</v>
      </c>
      <c r="AN9" s="174">
        <f t="shared" si="1"/>
        <v>2040</v>
      </c>
      <c r="AO9" s="171">
        <f t="shared" si="1"/>
        <v>2041</v>
      </c>
      <c r="AP9" s="174">
        <f t="shared" si="1"/>
        <v>2042</v>
      </c>
      <c r="AQ9" s="171">
        <f t="shared" si="1"/>
        <v>2043</v>
      </c>
      <c r="AR9" s="174">
        <f t="shared" si="1"/>
        <v>2044</v>
      </c>
      <c r="AS9" s="171">
        <f t="shared" si="1"/>
        <v>2045</v>
      </c>
      <c r="AT9" s="174">
        <f t="shared" si="1"/>
        <v>2046</v>
      </c>
      <c r="AU9" s="171">
        <f t="shared" si="1"/>
        <v>2047</v>
      </c>
      <c r="AV9" s="174">
        <f t="shared" si="1"/>
        <v>2048</v>
      </c>
      <c r="AW9" s="171">
        <f t="shared" si="1"/>
        <v>2049</v>
      </c>
      <c r="AX9" s="174">
        <f t="shared" si="1"/>
        <v>2050</v>
      </c>
      <c r="AY9" s="171">
        <f t="shared" si="1"/>
        <v>2051</v>
      </c>
    </row>
    <row r="10" spans="1:51" ht="12">
      <c r="A10" s="32"/>
      <c r="D10" s="105"/>
      <c r="E10" s="29"/>
      <c r="F10" s="29"/>
      <c r="G10" s="183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</row>
    <row r="11" spans="1:51" ht="12">
      <c r="A11" s="58" t="s">
        <v>18</v>
      </c>
      <c r="B11" s="28"/>
      <c r="C11" s="28"/>
      <c r="D11" s="133"/>
      <c r="E11" s="60">
        <f aca="true" t="shared" si="2" ref="E11:AA11">SUM(E12:E13)</f>
        <v>70000</v>
      </c>
      <c r="F11" s="101"/>
      <c r="G11" s="185">
        <f t="shared" si="2"/>
        <v>70000</v>
      </c>
      <c r="H11" s="127">
        <f t="shared" si="2"/>
        <v>70000</v>
      </c>
      <c r="I11" s="128">
        <f t="shared" si="2"/>
        <v>70000</v>
      </c>
      <c r="J11" s="128">
        <f t="shared" si="2"/>
        <v>70000</v>
      </c>
      <c r="K11" s="128">
        <f t="shared" si="2"/>
        <v>70000</v>
      </c>
      <c r="L11" s="128">
        <f t="shared" si="2"/>
        <v>70000</v>
      </c>
      <c r="M11" s="128">
        <f t="shared" si="2"/>
        <v>70000</v>
      </c>
      <c r="N11" s="128">
        <f t="shared" si="2"/>
        <v>70000</v>
      </c>
      <c r="O11" s="128">
        <f t="shared" si="2"/>
        <v>70000</v>
      </c>
      <c r="P11" s="128">
        <f t="shared" si="2"/>
        <v>70000</v>
      </c>
      <c r="Q11" s="167">
        <f t="shared" si="2"/>
        <v>70000</v>
      </c>
      <c r="R11" s="161">
        <f t="shared" si="2"/>
        <v>70000</v>
      </c>
      <c r="S11" s="128">
        <f t="shared" si="2"/>
        <v>70000</v>
      </c>
      <c r="T11" s="128">
        <f t="shared" si="2"/>
        <v>70000</v>
      </c>
      <c r="U11" s="128">
        <f t="shared" si="2"/>
        <v>70000</v>
      </c>
      <c r="V11" s="128">
        <f t="shared" si="2"/>
        <v>70000</v>
      </c>
      <c r="W11" s="128">
        <f t="shared" si="2"/>
        <v>70000</v>
      </c>
      <c r="X11" s="128">
        <f t="shared" si="2"/>
        <v>70000</v>
      </c>
      <c r="Y11" s="128">
        <f t="shared" si="2"/>
        <v>70000</v>
      </c>
      <c r="Z11" s="128">
        <f t="shared" si="2"/>
        <v>70000</v>
      </c>
      <c r="AA11" s="128">
        <f t="shared" si="2"/>
        <v>70000</v>
      </c>
      <c r="AB11" s="128">
        <f>SUM(AB12:AB13)</f>
        <v>70000</v>
      </c>
      <c r="AC11" s="128">
        <f aca="true" t="shared" si="3" ref="AC11:AY11">SUM(AC12:AC13)</f>
        <v>70000</v>
      </c>
      <c r="AD11" s="128">
        <f t="shared" si="3"/>
        <v>70000</v>
      </c>
      <c r="AE11" s="128">
        <f t="shared" si="3"/>
        <v>70000</v>
      </c>
      <c r="AF11" s="128">
        <f t="shared" si="3"/>
        <v>70000</v>
      </c>
      <c r="AG11" s="128">
        <f t="shared" si="3"/>
        <v>70000</v>
      </c>
      <c r="AH11" s="128">
        <f t="shared" si="3"/>
        <v>70000</v>
      </c>
      <c r="AI11" s="128">
        <f t="shared" si="3"/>
        <v>70000</v>
      </c>
      <c r="AJ11" s="128">
        <f t="shared" si="3"/>
        <v>70000</v>
      </c>
      <c r="AK11" s="128">
        <f t="shared" si="3"/>
        <v>70000</v>
      </c>
      <c r="AL11" s="128">
        <f t="shared" si="3"/>
        <v>70000</v>
      </c>
      <c r="AM11" s="128">
        <f t="shared" si="3"/>
        <v>70000</v>
      </c>
      <c r="AN11" s="128">
        <f t="shared" si="3"/>
        <v>70000</v>
      </c>
      <c r="AO11" s="128">
        <f t="shared" si="3"/>
        <v>70000</v>
      </c>
      <c r="AP11" s="128">
        <f t="shared" si="3"/>
        <v>70000</v>
      </c>
      <c r="AQ11" s="128">
        <f t="shared" si="3"/>
        <v>70000</v>
      </c>
      <c r="AR11" s="128">
        <f t="shared" si="3"/>
        <v>70000</v>
      </c>
      <c r="AS11" s="128">
        <f t="shared" si="3"/>
        <v>70000</v>
      </c>
      <c r="AT11" s="128">
        <f t="shared" si="3"/>
        <v>70000</v>
      </c>
      <c r="AU11" s="128">
        <f t="shared" si="3"/>
        <v>70000</v>
      </c>
      <c r="AV11" s="128">
        <f t="shared" si="3"/>
        <v>70000</v>
      </c>
      <c r="AW11" s="128">
        <f t="shared" si="3"/>
        <v>70000</v>
      </c>
      <c r="AX11" s="128">
        <f t="shared" si="3"/>
        <v>70000</v>
      </c>
      <c r="AY11" s="129">
        <f t="shared" si="3"/>
        <v>70000</v>
      </c>
    </row>
    <row r="12" spans="2:51" ht="12">
      <c r="B12" s="27" t="s">
        <v>30</v>
      </c>
      <c r="D12" s="105"/>
      <c r="E12" s="216">
        <v>70000</v>
      </c>
      <c r="F12" s="93"/>
      <c r="G12" s="138">
        <f>SUM(E12:F12)</f>
        <v>70000</v>
      </c>
      <c r="H12" s="116">
        <v>70000</v>
      </c>
      <c r="I12" s="117">
        <v>70000</v>
      </c>
      <c r="J12" s="117">
        <v>70000</v>
      </c>
      <c r="K12" s="117">
        <v>70000</v>
      </c>
      <c r="L12" s="117">
        <v>70000</v>
      </c>
      <c r="M12" s="117">
        <v>70000</v>
      </c>
      <c r="N12" s="117">
        <v>70000</v>
      </c>
      <c r="O12" s="117">
        <v>70000</v>
      </c>
      <c r="P12" s="117">
        <v>70000</v>
      </c>
      <c r="Q12" s="169">
        <v>70000</v>
      </c>
      <c r="R12" s="156">
        <v>70000</v>
      </c>
      <c r="S12" s="117">
        <v>70000</v>
      </c>
      <c r="T12" s="117">
        <v>70000</v>
      </c>
      <c r="U12" s="117">
        <v>70000</v>
      </c>
      <c r="V12" s="117">
        <v>70000</v>
      </c>
      <c r="W12" s="117">
        <v>70000</v>
      </c>
      <c r="X12" s="117">
        <v>70000</v>
      </c>
      <c r="Y12" s="117">
        <v>70000</v>
      </c>
      <c r="Z12" s="117">
        <v>70000</v>
      </c>
      <c r="AA12" s="117">
        <v>70000</v>
      </c>
      <c r="AB12" s="117">
        <v>70000</v>
      </c>
      <c r="AC12" s="117">
        <v>70000</v>
      </c>
      <c r="AD12" s="117">
        <v>70000</v>
      </c>
      <c r="AE12" s="117">
        <v>70000</v>
      </c>
      <c r="AF12" s="117">
        <v>70000</v>
      </c>
      <c r="AG12" s="117">
        <v>70000</v>
      </c>
      <c r="AH12" s="117">
        <v>70000</v>
      </c>
      <c r="AI12" s="117">
        <v>70000</v>
      </c>
      <c r="AJ12" s="117">
        <v>70000</v>
      </c>
      <c r="AK12" s="117">
        <v>70000</v>
      </c>
      <c r="AL12" s="117">
        <v>70000</v>
      </c>
      <c r="AM12" s="117">
        <v>70000</v>
      </c>
      <c r="AN12" s="117">
        <v>70000</v>
      </c>
      <c r="AO12" s="117">
        <v>70000</v>
      </c>
      <c r="AP12" s="117">
        <v>70000</v>
      </c>
      <c r="AQ12" s="117">
        <v>70000</v>
      </c>
      <c r="AR12" s="117">
        <v>70000</v>
      </c>
      <c r="AS12" s="117">
        <v>70000</v>
      </c>
      <c r="AT12" s="117">
        <v>70000</v>
      </c>
      <c r="AU12" s="117">
        <v>70000</v>
      </c>
      <c r="AV12" s="117">
        <v>70000</v>
      </c>
      <c r="AW12" s="117">
        <v>70000</v>
      </c>
      <c r="AX12" s="117">
        <v>70000</v>
      </c>
      <c r="AY12" s="219">
        <v>70000</v>
      </c>
    </row>
    <row r="13" spans="2:51" ht="12">
      <c r="B13" s="37" t="s">
        <v>31</v>
      </c>
      <c r="D13" s="105"/>
      <c r="E13" s="117"/>
      <c r="F13" s="93"/>
      <c r="G13" s="138">
        <f>SUM(E13:F13)</f>
        <v>0</v>
      </c>
      <c r="H13" s="116"/>
      <c r="I13" s="117"/>
      <c r="J13" s="117"/>
      <c r="K13" s="117"/>
      <c r="L13" s="117"/>
      <c r="M13" s="117"/>
      <c r="N13" s="117"/>
      <c r="O13" s="117"/>
      <c r="P13" s="117"/>
      <c r="Q13" s="169"/>
      <c r="R13" s="156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8"/>
    </row>
    <row r="14" spans="2:51" ht="12">
      <c r="B14" s="34"/>
      <c r="C14" s="37"/>
      <c r="D14" s="105"/>
      <c r="E14" s="29"/>
      <c r="F14" s="55"/>
      <c r="G14" s="138"/>
      <c r="H14" s="110"/>
      <c r="I14" s="111"/>
      <c r="J14" s="111"/>
      <c r="K14" s="111"/>
      <c r="L14" s="111"/>
      <c r="M14" s="111"/>
      <c r="N14" s="111"/>
      <c r="O14" s="111"/>
      <c r="P14" s="111"/>
      <c r="Q14" s="163"/>
      <c r="R14" s="157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2"/>
    </row>
    <row r="15" spans="1:51" ht="12">
      <c r="A15" s="134" t="s">
        <v>32</v>
      </c>
      <c r="B15" s="135"/>
      <c r="C15" s="28"/>
      <c r="D15" s="28"/>
      <c r="E15" s="60">
        <f aca="true" t="shared" si="4" ref="E15:AA15">SUM(E16:E17)</f>
        <v>0</v>
      </c>
      <c r="F15" s="101"/>
      <c r="G15" s="137">
        <f t="shared" si="4"/>
        <v>0</v>
      </c>
      <c r="H15" s="127">
        <f t="shared" si="4"/>
        <v>16537.5</v>
      </c>
      <c r="I15" s="128">
        <f t="shared" si="4"/>
        <v>17212.88841395154</v>
      </c>
      <c r="J15" s="128">
        <f t="shared" si="4"/>
        <v>17945.599093528075</v>
      </c>
      <c r="K15" s="128">
        <f t="shared" si="4"/>
        <v>18737.781623690553</v>
      </c>
      <c r="L15" s="128">
        <f t="shared" si="4"/>
        <v>19591.66619883594</v>
      </c>
      <c r="M15" s="128">
        <f t="shared" si="4"/>
        <v>20509.566645651095</v>
      </c>
      <c r="N15" s="128">
        <f t="shared" si="4"/>
        <v>21493.883559323636</v>
      </c>
      <c r="O15" s="128">
        <f t="shared" si="4"/>
        <v>22547.107557360712</v>
      </c>
      <c r="P15" s="128">
        <f t="shared" si="4"/>
        <v>23671.822655426</v>
      </c>
      <c r="Q15" s="167">
        <f t="shared" si="4"/>
        <v>24870.709769770554</v>
      </c>
      <c r="R15" s="161">
        <f t="shared" si="4"/>
        <v>26146.550351004844</v>
      </c>
      <c r="S15" s="128">
        <f t="shared" si="4"/>
        <v>27502.230154137236</v>
      </c>
      <c r="T15" s="128">
        <f t="shared" si="4"/>
        <v>28512.342581807094</v>
      </c>
      <c r="U15" s="128">
        <f t="shared" si="4"/>
        <v>29163.86488115744</v>
      </c>
      <c r="V15" s="128">
        <f t="shared" si="4"/>
        <v>29541.33254998327</v>
      </c>
      <c r="W15" s="128">
        <f t="shared" si="4"/>
        <v>29986.03103963992</v>
      </c>
      <c r="X15" s="128">
        <f t="shared" si="4"/>
        <v>30500.481505908552</v>
      </c>
      <c r="Y15" s="128">
        <f t="shared" si="4"/>
        <v>30846.656176754732</v>
      </c>
      <c r="Z15" s="128">
        <f t="shared" si="4"/>
        <v>30347.36730033705</v>
      </c>
      <c r="AA15" s="128">
        <f t="shared" si="4"/>
        <v>29311.619973628407</v>
      </c>
      <c r="AB15" s="128">
        <f>SUM(AB16:AB17)</f>
        <v>28309.9220047429</v>
      </c>
      <c r="AC15" s="128">
        <f aca="true" t="shared" si="5" ref="AC15:AY15">SUM(AC16:AC17)</f>
        <v>27343.5502445989</v>
      </c>
      <c r="AD15" s="128">
        <f t="shared" si="5"/>
        <v>26413.82942602421</v>
      </c>
      <c r="AE15" s="128">
        <f t="shared" si="5"/>
        <v>25255.046846015397</v>
      </c>
      <c r="AF15" s="128">
        <f t="shared" si="5"/>
        <v>23432.59056858018</v>
      </c>
      <c r="AG15" s="128">
        <f t="shared" si="5"/>
        <v>21624.697830065063</v>
      </c>
      <c r="AH15" s="128">
        <f t="shared" si="5"/>
        <v>19831.91476317955</v>
      </c>
      <c r="AI15" s="128">
        <f t="shared" si="5"/>
        <v>18607.30798060975</v>
      </c>
      <c r="AJ15" s="128">
        <f t="shared" si="5"/>
        <v>17398.9653430175</v>
      </c>
      <c r="AK15" s="128">
        <f t="shared" si="5"/>
        <v>16207.496755839464</v>
      </c>
      <c r="AL15" s="128">
        <f t="shared" si="5"/>
        <v>15033.53499596617</v>
      </c>
      <c r="AM15" s="128">
        <f t="shared" si="5"/>
        <v>13877.736569421551</v>
      </c>
      <c r="AN15" s="128">
        <f t="shared" si="5"/>
        <v>12540.321771712343</v>
      </c>
      <c r="AO15" s="128">
        <f t="shared" si="5"/>
        <v>10683.666869349052</v>
      </c>
      <c r="AP15" s="128">
        <f t="shared" si="5"/>
        <v>8522.100947208419</v>
      </c>
      <c r="AQ15" s="128">
        <f t="shared" si="5"/>
        <v>6287.3806585929115</v>
      </c>
      <c r="AR15" s="128">
        <f t="shared" si="5"/>
        <v>3834.4913050952023</v>
      </c>
      <c r="AS15" s="128">
        <f t="shared" si="5"/>
        <v>1347.1418592822067</v>
      </c>
      <c r="AT15" s="128">
        <f t="shared" si="5"/>
        <v>0</v>
      </c>
      <c r="AU15" s="128">
        <f t="shared" si="5"/>
        <v>0</v>
      </c>
      <c r="AV15" s="128">
        <f t="shared" si="5"/>
        <v>0</v>
      </c>
      <c r="AW15" s="128">
        <f t="shared" si="5"/>
        <v>0</v>
      </c>
      <c r="AX15" s="128">
        <f t="shared" si="5"/>
        <v>0</v>
      </c>
      <c r="AY15" s="129">
        <f t="shared" si="5"/>
        <v>0</v>
      </c>
    </row>
    <row r="16" spans="2:51" ht="12">
      <c r="B16" s="37" t="s">
        <v>33</v>
      </c>
      <c r="D16" s="22" t="s">
        <v>8</v>
      </c>
      <c r="E16" s="216"/>
      <c r="F16" s="93"/>
      <c r="G16" s="138">
        <f>SUM(E16:F16)</f>
        <v>0</v>
      </c>
      <c r="H16" s="116"/>
      <c r="I16" s="117"/>
      <c r="J16" s="117"/>
      <c r="K16" s="117"/>
      <c r="L16" s="117"/>
      <c r="M16" s="117"/>
      <c r="N16" s="117"/>
      <c r="O16" s="117"/>
      <c r="P16" s="117"/>
      <c r="Q16" s="169"/>
      <c r="R16" s="156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8"/>
    </row>
    <row r="17" spans="2:51" ht="12">
      <c r="B17" s="34" t="s">
        <v>145</v>
      </c>
      <c r="D17" s="106">
        <v>0.0375</v>
      </c>
      <c r="E17" s="117"/>
      <c r="F17" s="93"/>
      <c r="G17" s="138">
        <f>SUM(E17:F17)</f>
        <v>0</v>
      </c>
      <c r="H17" s="110">
        <f aca="true" t="shared" si="6" ref="H17:AY17">$D17*(G47+G48)</f>
        <v>16537.5</v>
      </c>
      <c r="I17" s="111">
        <f t="shared" si="6"/>
        <v>17212.88841395154</v>
      </c>
      <c r="J17" s="111">
        <f t="shared" si="6"/>
        <v>17945.599093528075</v>
      </c>
      <c r="K17" s="111">
        <f t="shared" si="6"/>
        <v>18737.781623690553</v>
      </c>
      <c r="L17" s="111">
        <f t="shared" si="6"/>
        <v>19591.66619883594</v>
      </c>
      <c r="M17" s="111">
        <f t="shared" si="6"/>
        <v>20509.566645651095</v>
      </c>
      <c r="N17" s="111">
        <f t="shared" si="6"/>
        <v>21493.883559323636</v>
      </c>
      <c r="O17" s="111">
        <f t="shared" si="6"/>
        <v>22547.107557360712</v>
      </c>
      <c r="P17" s="111">
        <f t="shared" si="6"/>
        <v>23671.822655426</v>
      </c>
      <c r="Q17" s="163">
        <f t="shared" si="6"/>
        <v>24870.709769770554</v>
      </c>
      <c r="R17" s="157">
        <f t="shared" si="6"/>
        <v>26146.550351004844</v>
      </c>
      <c r="S17" s="111">
        <f t="shared" si="6"/>
        <v>27502.230154137236</v>
      </c>
      <c r="T17" s="111">
        <f t="shared" si="6"/>
        <v>28512.342581807094</v>
      </c>
      <c r="U17" s="111">
        <f t="shared" si="6"/>
        <v>29163.86488115744</v>
      </c>
      <c r="V17" s="111">
        <f t="shared" si="6"/>
        <v>29541.33254998327</v>
      </c>
      <c r="W17" s="111">
        <f t="shared" si="6"/>
        <v>29986.03103963992</v>
      </c>
      <c r="X17" s="111">
        <f t="shared" si="6"/>
        <v>30500.481505908552</v>
      </c>
      <c r="Y17" s="111">
        <f t="shared" si="6"/>
        <v>30846.656176754732</v>
      </c>
      <c r="Z17" s="111">
        <f t="shared" si="6"/>
        <v>30347.36730033705</v>
      </c>
      <c r="AA17" s="111">
        <f t="shared" si="6"/>
        <v>29311.619973628407</v>
      </c>
      <c r="AB17" s="111">
        <f t="shared" si="6"/>
        <v>28309.9220047429</v>
      </c>
      <c r="AC17" s="111">
        <f t="shared" si="6"/>
        <v>27343.5502445989</v>
      </c>
      <c r="AD17" s="111">
        <f t="shared" si="6"/>
        <v>26413.82942602421</v>
      </c>
      <c r="AE17" s="111">
        <f t="shared" si="6"/>
        <v>25255.046846015397</v>
      </c>
      <c r="AF17" s="111">
        <f t="shared" si="6"/>
        <v>23432.59056858018</v>
      </c>
      <c r="AG17" s="111">
        <f t="shared" si="6"/>
        <v>21624.697830065063</v>
      </c>
      <c r="AH17" s="111">
        <f t="shared" si="6"/>
        <v>19831.91476317955</v>
      </c>
      <c r="AI17" s="111">
        <f t="shared" si="6"/>
        <v>18607.30798060975</v>
      </c>
      <c r="AJ17" s="111">
        <f t="shared" si="6"/>
        <v>17398.9653430175</v>
      </c>
      <c r="AK17" s="111">
        <f t="shared" si="6"/>
        <v>16207.496755839464</v>
      </c>
      <c r="AL17" s="111">
        <f t="shared" si="6"/>
        <v>15033.53499596617</v>
      </c>
      <c r="AM17" s="111">
        <f t="shared" si="6"/>
        <v>13877.736569421551</v>
      </c>
      <c r="AN17" s="111">
        <f t="shared" si="6"/>
        <v>12540.321771712343</v>
      </c>
      <c r="AO17" s="111">
        <f t="shared" si="6"/>
        <v>10683.666869349052</v>
      </c>
      <c r="AP17" s="111">
        <f t="shared" si="6"/>
        <v>8522.100947208419</v>
      </c>
      <c r="AQ17" s="111">
        <f t="shared" si="6"/>
        <v>6287.3806585929115</v>
      </c>
      <c r="AR17" s="111">
        <f t="shared" si="6"/>
        <v>3834.4913050952023</v>
      </c>
      <c r="AS17" s="111">
        <f t="shared" si="6"/>
        <v>1347.1418592822067</v>
      </c>
      <c r="AT17" s="111">
        <f t="shared" si="6"/>
        <v>0</v>
      </c>
      <c r="AU17" s="111">
        <f t="shared" si="6"/>
        <v>0</v>
      </c>
      <c r="AV17" s="111">
        <f t="shared" si="6"/>
        <v>0</v>
      </c>
      <c r="AW17" s="111">
        <f t="shared" si="6"/>
        <v>0</v>
      </c>
      <c r="AX17" s="111">
        <f t="shared" si="6"/>
        <v>0</v>
      </c>
      <c r="AY17" s="112">
        <f t="shared" si="6"/>
        <v>0</v>
      </c>
    </row>
    <row r="18" spans="2:51" ht="12">
      <c r="B18" s="37"/>
      <c r="D18" s="105"/>
      <c r="E18" s="29"/>
      <c r="F18" s="55"/>
      <c r="G18" s="138"/>
      <c r="H18" s="110"/>
      <c r="I18" s="111"/>
      <c r="J18" s="111"/>
      <c r="K18" s="111"/>
      <c r="L18" s="111"/>
      <c r="M18" s="111"/>
      <c r="N18" s="111"/>
      <c r="O18" s="111"/>
      <c r="P18" s="111"/>
      <c r="Q18" s="163"/>
      <c r="R18" s="157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2"/>
    </row>
    <row r="19" spans="2:51" ht="12">
      <c r="B19" s="27"/>
      <c r="D19" s="107" t="s">
        <v>8</v>
      </c>
      <c r="E19" s="29"/>
      <c r="F19" s="55"/>
      <c r="G19" s="139"/>
      <c r="H19" s="110"/>
      <c r="I19" s="111"/>
      <c r="J19" s="111"/>
      <c r="K19" s="111"/>
      <c r="L19" s="111"/>
      <c r="M19" s="111"/>
      <c r="N19" s="111"/>
      <c r="O19" s="111"/>
      <c r="P19" s="111"/>
      <c r="Q19" s="163"/>
      <c r="R19" s="157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2"/>
    </row>
    <row r="20" spans="2:51" ht="12">
      <c r="B20" s="35" t="s">
        <v>147</v>
      </c>
      <c r="D20" s="106">
        <v>0.0375</v>
      </c>
      <c r="E20" s="29"/>
      <c r="F20" s="55"/>
      <c r="G20" s="139"/>
      <c r="H20" s="113">
        <f aca="true" t="shared" si="7" ref="H20:AY20">$D20*(G34+G40)</f>
        <v>28275</v>
      </c>
      <c r="I20" s="114">
        <f t="shared" si="7"/>
        <v>27421.79466395154</v>
      </c>
      <c r="J20" s="114">
        <f t="shared" si="7"/>
        <v>26568.589327903075</v>
      </c>
      <c r="K20" s="114">
        <f t="shared" si="7"/>
        <v>25715.383991854615</v>
      </c>
      <c r="L20" s="114">
        <f t="shared" si="7"/>
        <v>24862.178655806154</v>
      </c>
      <c r="M20" s="114">
        <f t="shared" si="7"/>
        <v>24008.973319757693</v>
      </c>
      <c r="N20" s="114">
        <f t="shared" si="7"/>
        <v>23155.767983709233</v>
      </c>
      <c r="O20" s="114">
        <f t="shared" si="7"/>
        <v>22302.56264766077</v>
      </c>
      <c r="P20" s="114">
        <f t="shared" si="7"/>
        <v>21449.357311612308</v>
      </c>
      <c r="Q20" s="164">
        <f t="shared" si="7"/>
        <v>20596.151975563847</v>
      </c>
      <c r="R20" s="158">
        <f t="shared" si="7"/>
        <v>19742.946639515387</v>
      </c>
      <c r="S20" s="114">
        <f t="shared" si="7"/>
        <v>18889.741303466926</v>
      </c>
      <c r="T20" s="114">
        <f t="shared" si="7"/>
        <v>25895.635399236646</v>
      </c>
      <c r="U20" s="114">
        <f t="shared" si="7"/>
        <v>33855.2811792406</v>
      </c>
      <c r="V20" s="114">
        <f t="shared" si="7"/>
        <v>32439.92695924455</v>
      </c>
      <c r="W20" s="114">
        <f t="shared" si="7"/>
        <v>31024.5727392485</v>
      </c>
      <c r="X20" s="114">
        <f t="shared" si="7"/>
        <v>29609.21851925245</v>
      </c>
      <c r="Y20" s="114">
        <f t="shared" si="7"/>
        <v>44828.22082809902</v>
      </c>
      <c r="Z20" s="114">
        <f t="shared" si="7"/>
        <v>58634.49062610675</v>
      </c>
      <c r="AA20" s="114">
        <f t="shared" si="7"/>
        <v>56690.76042411448</v>
      </c>
      <c r="AB20" s="114">
        <f t="shared" si="7"/>
        <v>54747.03022212221</v>
      </c>
      <c r="AC20" s="114">
        <f t="shared" si="7"/>
        <v>52803.30002012994</v>
      </c>
      <c r="AD20" s="114">
        <f t="shared" si="7"/>
        <v>50859.56981813766</v>
      </c>
      <c r="AE20" s="114">
        <f t="shared" si="7"/>
        <v>67398.7525028331</v>
      </c>
      <c r="AF20" s="114">
        <f t="shared" si="7"/>
        <v>65187.93518752855</v>
      </c>
      <c r="AG20" s="114">
        <f t="shared" si="7"/>
        <v>62977.117872224</v>
      </c>
      <c r="AH20" s="114">
        <f t="shared" si="7"/>
        <v>60766.30055691945</v>
      </c>
      <c r="AI20" s="114">
        <f t="shared" si="7"/>
        <v>59107.98324161489</v>
      </c>
      <c r="AJ20" s="114">
        <f t="shared" si="7"/>
        <v>57449.665926310336</v>
      </c>
      <c r="AK20" s="114">
        <f t="shared" si="7"/>
        <v>55791.34861100578</v>
      </c>
      <c r="AL20" s="114">
        <f t="shared" si="7"/>
        <v>54133.03129570123</v>
      </c>
      <c r="AM20" s="114">
        <f t="shared" si="7"/>
        <v>52474.71398039667</v>
      </c>
      <c r="AN20" s="114">
        <f t="shared" si="7"/>
        <v>61865.935835599026</v>
      </c>
      <c r="AO20" s="114">
        <f t="shared" si="7"/>
        <v>68140.24146063149</v>
      </c>
      <c r="AP20" s="114">
        <f t="shared" si="7"/>
        <v>66164.54708566396</v>
      </c>
      <c r="AQ20" s="114">
        <f t="shared" si="7"/>
        <v>69747.66852724053</v>
      </c>
      <c r="AR20" s="114">
        <f t="shared" si="7"/>
        <v>67705.7899688171</v>
      </c>
      <c r="AS20" s="114">
        <f t="shared" si="7"/>
        <v>67144.86422289368</v>
      </c>
      <c r="AT20" s="114">
        <f t="shared" si="7"/>
        <v>115046.3869522469</v>
      </c>
      <c r="AU20" s="114">
        <f t="shared" si="7"/>
        <v>132391.87646295613</v>
      </c>
      <c r="AV20" s="114">
        <f t="shared" si="7"/>
        <v>169137.82183031703</v>
      </c>
      <c r="AW20" s="114">
        <f t="shared" si="7"/>
        <v>182136.7401489539</v>
      </c>
      <c r="AX20" s="114">
        <f t="shared" si="7"/>
        <v>186998.11790453963</v>
      </c>
      <c r="AY20" s="115">
        <f t="shared" si="7"/>
        <v>193729.2973259599</v>
      </c>
    </row>
    <row r="21" spans="2:51" ht="12">
      <c r="B21" s="35" t="s">
        <v>140</v>
      </c>
      <c r="D21" s="108"/>
      <c r="E21" s="29"/>
      <c r="F21" s="55"/>
      <c r="G21" s="139"/>
      <c r="H21" s="113">
        <f>(Anlagenbuch!R39+Anlagenbuch!BM39)*1000</f>
        <v>22752.142294625613</v>
      </c>
      <c r="I21" s="114">
        <f>(Anlagenbuch!S39+Anlagenbuch!BN39)*1000</f>
        <v>22752.142294625613</v>
      </c>
      <c r="J21" s="114">
        <f>(Anlagenbuch!T39+Anlagenbuch!BO39)*1000</f>
        <v>22752.142294625613</v>
      </c>
      <c r="K21" s="114">
        <f>(Anlagenbuch!U39+Anlagenbuch!BP39)*1000</f>
        <v>22752.142294625613</v>
      </c>
      <c r="L21" s="114">
        <f>(Anlagenbuch!V39+Anlagenbuch!BQ39)*1000</f>
        <v>22752.142294625613</v>
      </c>
      <c r="M21" s="114">
        <f>(Anlagenbuch!W39+Anlagenbuch!BR39)*1000</f>
        <v>22752.142294625613</v>
      </c>
      <c r="N21" s="114">
        <f>(Anlagenbuch!X39+Anlagenbuch!BS39)*1000</f>
        <v>22752.142294625613</v>
      </c>
      <c r="O21" s="114">
        <f>(Anlagenbuch!Y39+Anlagenbuch!BT39)*1000</f>
        <v>22752.142294625613</v>
      </c>
      <c r="P21" s="114">
        <f>(Anlagenbuch!Z39+Anlagenbuch!BU39)*1000</f>
        <v>22752.142294625613</v>
      </c>
      <c r="Q21" s="164">
        <f>(Anlagenbuch!AA39+Anlagenbuch!BV39)*1000</f>
        <v>22752.142294625613</v>
      </c>
      <c r="R21" s="113">
        <f>(Anlagenbuch!AB39+Anlagenbuch!BW39)*1000</f>
        <v>22752.142294625613</v>
      </c>
      <c r="S21" s="114">
        <f>(Anlagenbuch!AC39+Anlagenbuch!BX39)*1000</f>
        <v>34176.157446140765</v>
      </c>
      <c r="T21" s="114">
        <f>(Anlagenbuch!AD39+Anlagenbuch!BY39)*1000</f>
        <v>37742.77919989467</v>
      </c>
      <c r="U21" s="114">
        <f>(Anlagenbuch!AE39+Anlagenbuch!BZ39)*1000</f>
        <v>37742.77919989467</v>
      </c>
      <c r="V21" s="114">
        <f>(Anlagenbuch!AF39+Anlagenbuch!CA39)*1000</f>
        <v>37742.77919989467</v>
      </c>
      <c r="W21" s="114">
        <f>(Anlagenbuch!AG39+Anlagenbuch!CB39)*1000</f>
        <v>37742.77919989467</v>
      </c>
      <c r="X21" s="114">
        <f>(Anlagenbuch!AH39+Anlagenbuch!CC39)*1000</f>
        <v>44159.93843075795</v>
      </c>
      <c r="Y21" s="114">
        <f>(Anlagenbuch!AI39+Anlagenbuch!CD39)*1000</f>
        <v>51832.80538646072</v>
      </c>
      <c r="Z21" s="114">
        <f>(Anlagenbuch!AJ39+Anlagenbuch!CE39)*1000</f>
        <v>51832.80538646072</v>
      </c>
      <c r="AA21" s="114">
        <f>(Anlagenbuch!AK39+Anlagenbuch!CF39)*1000</f>
        <v>51832.80538646072</v>
      </c>
      <c r="AB21" s="114">
        <f>(Anlagenbuch!AL39+Anlagenbuch!CG39)*1000</f>
        <v>51832.80538646072</v>
      </c>
      <c r="AC21" s="114">
        <f>(Anlagenbuch!AM39+Anlagenbuch!CH39)*1000</f>
        <v>51832.80538646072</v>
      </c>
      <c r="AD21" s="114">
        <f>(Anlagenbuch!AN39+Anlagenbuch!CI39)*1000</f>
        <v>58955.12840812147</v>
      </c>
      <c r="AE21" s="114">
        <f>(Anlagenbuch!AO39+Anlagenbuch!CJ39)*1000</f>
        <v>58955.12840812147</v>
      </c>
      <c r="AF21" s="114">
        <f>(Anlagenbuch!AP39+Anlagenbuch!CK39)*1000</f>
        <v>58955.12840812147</v>
      </c>
      <c r="AG21" s="114">
        <f>(Anlagenbuch!AQ39+Anlagenbuch!CL39)*1000</f>
        <v>58955.12840812147</v>
      </c>
      <c r="AH21" s="114">
        <f>(Anlagenbuch!AR39+Anlagenbuch!CM39)*1000</f>
        <v>44221.79507478813</v>
      </c>
      <c r="AI21" s="114">
        <f>(Anlagenbuch!AS39+Anlagenbuch!CN39)*1000</f>
        <v>44221.79507478813</v>
      </c>
      <c r="AJ21" s="114">
        <f>(Anlagenbuch!AT39+Anlagenbuch!CO39)*1000</f>
        <v>44221.79507478813</v>
      </c>
      <c r="AK21" s="114">
        <f>(Anlagenbuch!AU39+Anlagenbuch!CP39)*1000</f>
        <v>44221.79507478813</v>
      </c>
      <c r="AL21" s="114">
        <f>(Anlagenbuch!AV39+Anlagenbuch!CQ39)*1000</f>
        <v>44221.79507478813</v>
      </c>
      <c r="AM21" s="114">
        <f>(Anlagenbuch!AW39+Anlagenbuch!CR39)*1000</f>
        <v>49567.417194603804</v>
      </c>
      <c r="AN21" s="114">
        <f>(Anlagenbuch!AX39+Anlagenbuch!CS39)*1000</f>
        <v>52685.18333246778</v>
      </c>
      <c r="AO21" s="114">
        <f>(Anlagenbuch!AY39+Anlagenbuch!CT39)*1000</f>
        <v>52685.18333246778</v>
      </c>
      <c r="AP21" s="114">
        <f>(Anlagenbuch!AZ39+Anlagenbuch!CU39)*1000</f>
        <v>54450.09489129131</v>
      </c>
      <c r="AQ21" s="114">
        <f>(Anlagenbuch!BA39+Anlagenbuch!CV39)*1000</f>
        <v>54450.09489129131</v>
      </c>
      <c r="AR21" s="114">
        <f>(Anlagenbuch!BB39+Anlagenbuch!CW39)*1000</f>
        <v>54958.01989129131</v>
      </c>
      <c r="AS21" s="114">
        <f>(Anlagenbuch!BC39+Anlagenbuch!CX39)*1000</f>
        <v>69064.06684306636</v>
      </c>
      <c r="AT21" s="114">
        <f>(Anlagenbuch!BD39+Anlagenbuch!CY39)*1000</f>
        <v>74692.51046184477</v>
      </c>
      <c r="AU21" s="114">
        <f>(Anlagenbuch!BE39+Anlagenbuch!CZ39)*1000</f>
        <v>87291.3933393417</v>
      </c>
      <c r="AV21" s="114">
        <f>(Anlagenbuch!BF39+Anlagenbuch!DA39)*1000</f>
        <v>90499.74376120372</v>
      </c>
      <c r="AW21" s="114">
        <f>(Anlagenbuch!BG39+Anlagenbuch!DB39)*1000</f>
        <v>90499.74376120372</v>
      </c>
      <c r="AX21" s="114">
        <f>(Anlagenbuch!BH39+Anlagenbuch!DC39)*1000</f>
        <v>91125.15598295996</v>
      </c>
      <c r="AY21" s="115">
        <f>(Anlagenbuch!BI39+Anlagenbuch!DD39)*1000</f>
        <v>97368.45964480077</v>
      </c>
    </row>
    <row r="22" spans="2:51" ht="12">
      <c r="B22" s="35"/>
      <c r="D22" s="27"/>
      <c r="E22" s="33"/>
      <c r="F22" s="56"/>
      <c r="G22" s="140"/>
      <c r="H22" s="113"/>
      <c r="I22" s="114"/>
      <c r="J22" s="114"/>
      <c r="K22" s="114"/>
      <c r="L22" s="114"/>
      <c r="M22" s="114"/>
      <c r="N22" s="114"/>
      <c r="O22" s="114"/>
      <c r="P22" s="114"/>
      <c r="Q22" s="164"/>
      <c r="R22" s="158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5"/>
    </row>
    <row r="23" spans="2:51" ht="12">
      <c r="B23" s="35" t="s">
        <v>41</v>
      </c>
      <c r="D23" s="27"/>
      <c r="E23" s="33"/>
      <c r="F23" s="56"/>
      <c r="G23" s="140"/>
      <c r="H23" s="113">
        <f>H11-H15+SUM(H20:H21)</f>
        <v>104489.6422946256</v>
      </c>
      <c r="I23" s="114">
        <f aca="true" t="shared" si="8" ref="I23:AA23">I11-I15+SUM(I20:I21)</f>
        <v>102961.0485446256</v>
      </c>
      <c r="J23" s="114">
        <f t="shared" si="8"/>
        <v>101375.13252900062</v>
      </c>
      <c r="K23" s="114">
        <f t="shared" si="8"/>
        <v>99729.74466278969</v>
      </c>
      <c r="L23" s="114">
        <f t="shared" si="8"/>
        <v>98022.65475159582</v>
      </c>
      <c r="M23" s="114">
        <f t="shared" si="8"/>
        <v>96251.54896873221</v>
      </c>
      <c r="N23" s="114">
        <f t="shared" si="8"/>
        <v>94414.02671901122</v>
      </c>
      <c r="O23" s="114">
        <f t="shared" si="8"/>
        <v>92507.59738492567</v>
      </c>
      <c r="P23" s="114">
        <f t="shared" si="8"/>
        <v>90529.67695081192</v>
      </c>
      <c r="Q23" s="164">
        <f t="shared" si="8"/>
        <v>88477.58450041892</v>
      </c>
      <c r="R23" s="158">
        <f t="shared" si="8"/>
        <v>86348.53858313616</v>
      </c>
      <c r="S23" s="114">
        <f t="shared" si="8"/>
        <v>95563.66859547046</v>
      </c>
      <c r="T23" s="114">
        <f t="shared" si="8"/>
        <v>105126.07201732422</v>
      </c>
      <c r="U23" s="114">
        <f t="shared" si="8"/>
        <v>112434.19549797784</v>
      </c>
      <c r="V23" s="114">
        <f t="shared" si="8"/>
        <v>110641.37360915595</v>
      </c>
      <c r="W23" s="114">
        <f t="shared" si="8"/>
        <v>108781.32089950325</v>
      </c>
      <c r="X23" s="114">
        <f t="shared" si="8"/>
        <v>113268.67544410184</v>
      </c>
      <c r="Y23" s="114">
        <f t="shared" si="8"/>
        <v>135814.370037805</v>
      </c>
      <c r="Z23" s="114">
        <f t="shared" si="8"/>
        <v>150119.9287122304</v>
      </c>
      <c r="AA23" s="114">
        <f t="shared" si="8"/>
        <v>149211.9458369468</v>
      </c>
      <c r="AB23" s="114">
        <f>AB11-AB15+SUM(AB20:AB21)</f>
        <v>148269.91360384005</v>
      </c>
      <c r="AC23" s="114">
        <f aca="true" t="shared" si="9" ref="AC23:AY23">AC11-AC15+SUM(AC20:AC21)</f>
        <v>147292.55516199174</v>
      </c>
      <c r="AD23" s="114">
        <f t="shared" si="9"/>
        <v>153400.86880023492</v>
      </c>
      <c r="AE23" s="114">
        <f t="shared" si="9"/>
        <v>171098.83406493918</v>
      </c>
      <c r="AF23" s="114">
        <f t="shared" si="9"/>
        <v>170710.47302706982</v>
      </c>
      <c r="AG23" s="114">
        <f t="shared" si="9"/>
        <v>170307.5484502804</v>
      </c>
      <c r="AH23" s="114">
        <f t="shared" si="9"/>
        <v>155156.18086852803</v>
      </c>
      <c r="AI23" s="114">
        <f t="shared" si="9"/>
        <v>154722.47033579327</v>
      </c>
      <c r="AJ23" s="114">
        <f t="shared" si="9"/>
        <v>154272.49565808097</v>
      </c>
      <c r="AK23" s="114">
        <f t="shared" si="9"/>
        <v>153805.64692995444</v>
      </c>
      <c r="AL23" s="114">
        <f t="shared" si="9"/>
        <v>153321.2913745232</v>
      </c>
      <c r="AM23" s="114">
        <f t="shared" si="9"/>
        <v>158164.3946055789</v>
      </c>
      <c r="AN23" s="114">
        <f t="shared" si="9"/>
        <v>172010.79739635446</v>
      </c>
      <c r="AO23" s="114">
        <f t="shared" si="9"/>
        <v>180141.7579237502</v>
      </c>
      <c r="AP23" s="114">
        <f t="shared" si="9"/>
        <v>182092.54102974685</v>
      </c>
      <c r="AQ23" s="114">
        <f t="shared" si="9"/>
        <v>187910.38275993892</v>
      </c>
      <c r="AR23" s="114">
        <f t="shared" si="9"/>
        <v>188829.31855501322</v>
      </c>
      <c r="AS23" s="114">
        <f t="shared" si="9"/>
        <v>204861.78920667781</v>
      </c>
      <c r="AT23" s="114">
        <f t="shared" si="9"/>
        <v>259738.89741409168</v>
      </c>
      <c r="AU23" s="114">
        <f t="shared" si="9"/>
        <v>289683.2698022978</v>
      </c>
      <c r="AV23" s="114">
        <f t="shared" si="9"/>
        <v>329637.56559152075</v>
      </c>
      <c r="AW23" s="114">
        <f t="shared" si="9"/>
        <v>342636.4839101576</v>
      </c>
      <c r="AX23" s="114">
        <f t="shared" si="9"/>
        <v>348123.2738874996</v>
      </c>
      <c r="AY23" s="115">
        <f t="shared" si="9"/>
        <v>361097.75697076065</v>
      </c>
    </row>
    <row r="24" spans="2:51" ht="12">
      <c r="B24" s="27"/>
      <c r="D24" s="27"/>
      <c r="E24" s="33"/>
      <c r="F24" s="56"/>
      <c r="G24" s="140"/>
      <c r="H24" s="110"/>
      <c r="I24" s="111"/>
      <c r="J24" s="111"/>
      <c r="K24" s="111"/>
      <c r="L24" s="111"/>
      <c r="M24" s="111"/>
      <c r="N24" s="111"/>
      <c r="O24" s="111"/>
      <c r="P24" s="111"/>
      <c r="Q24" s="163"/>
      <c r="R24" s="157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2"/>
    </row>
    <row r="25" spans="1:51" s="35" customFormat="1" ht="12">
      <c r="A25" s="7"/>
      <c r="B25" s="35" t="s">
        <v>146</v>
      </c>
      <c r="C25" s="7"/>
      <c r="E25" s="33"/>
      <c r="F25" s="56"/>
      <c r="G25" s="140"/>
      <c r="H25" s="103">
        <f aca="true" t="shared" si="10" ref="H25:AY25">H7-H23</f>
        <v>18010.357705374394</v>
      </c>
      <c r="I25" s="114">
        <f t="shared" si="10"/>
        <v>19538.951455374394</v>
      </c>
      <c r="J25" s="114">
        <f t="shared" si="10"/>
        <v>21124.86747099938</v>
      </c>
      <c r="K25" s="114">
        <f t="shared" si="10"/>
        <v>22770.255337210314</v>
      </c>
      <c r="L25" s="114">
        <f t="shared" si="10"/>
        <v>24477.345248404177</v>
      </c>
      <c r="M25" s="114">
        <f t="shared" si="10"/>
        <v>26248.45103126779</v>
      </c>
      <c r="N25" s="114">
        <f t="shared" si="10"/>
        <v>28085.97328098878</v>
      </c>
      <c r="O25" s="114">
        <f t="shared" si="10"/>
        <v>29992.40261507433</v>
      </c>
      <c r="P25" s="114">
        <f t="shared" si="10"/>
        <v>31970.323049188082</v>
      </c>
      <c r="Q25" s="164">
        <f t="shared" si="10"/>
        <v>34022.41549958108</v>
      </c>
      <c r="R25" s="158">
        <f t="shared" si="10"/>
        <v>36151.461416863836</v>
      </c>
      <c r="S25" s="114">
        <f t="shared" si="10"/>
        <v>26936.33140452954</v>
      </c>
      <c r="T25" s="114">
        <f t="shared" si="10"/>
        <v>17373.927982675785</v>
      </c>
      <c r="U25" s="114">
        <f t="shared" si="10"/>
        <v>10065.804502022162</v>
      </c>
      <c r="V25" s="114">
        <f t="shared" si="10"/>
        <v>11858.626390844045</v>
      </c>
      <c r="W25" s="114">
        <f t="shared" si="10"/>
        <v>13718.679100496753</v>
      </c>
      <c r="X25" s="114">
        <f t="shared" si="10"/>
        <v>9231.324555898158</v>
      </c>
      <c r="Y25" s="114">
        <f t="shared" si="10"/>
        <v>-13314.370037804998</v>
      </c>
      <c r="Z25" s="114">
        <f t="shared" si="10"/>
        <v>-27619.92871223041</v>
      </c>
      <c r="AA25" s="114">
        <f t="shared" si="10"/>
        <v>-26711.945836946805</v>
      </c>
      <c r="AB25" s="114">
        <f t="shared" si="10"/>
        <v>-25769.913603840047</v>
      </c>
      <c r="AC25" s="114">
        <f t="shared" si="10"/>
        <v>-24792.55516199174</v>
      </c>
      <c r="AD25" s="114">
        <f t="shared" si="10"/>
        <v>-30900.868800234923</v>
      </c>
      <c r="AE25" s="114">
        <f t="shared" si="10"/>
        <v>-48598.834064939176</v>
      </c>
      <c r="AF25" s="114">
        <f t="shared" si="10"/>
        <v>-48210.47302706982</v>
      </c>
      <c r="AG25" s="114">
        <f t="shared" si="10"/>
        <v>-47807.54845028039</v>
      </c>
      <c r="AH25" s="114">
        <f t="shared" si="10"/>
        <v>-32656.180868528027</v>
      </c>
      <c r="AI25" s="114">
        <f t="shared" si="10"/>
        <v>-32222.470335793274</v>
      </c>
      <c r="AJ25" s="114">
        <f t="shared" si="10"/>
        <v>-31772.495658080967</v>
      </c>
      <c r="AK25" s="114">
        <f t="shared" si="10"/>
        <v>-31305.64692995444</v>
      </c>
      <c r="AL25" s="114">
        <f t="shared" si="10"/>
        <v>-30821.291374523193</v>
      </c>
      <c r="AM25" s="114">
        <f t="shared" si="10"/>
        <v>-35664.39460557891</v>
      </c>
      <c r="AN25" s="114">
        <f t="shared" si="10"/>
        <v>-49510.797396354465</v>
      </c>
      <c r="AO25" s="114">
        <f t="shared" si="10"/>
        <v>-57641.75792375021</v>
      </c>
      <c r="AP25" s="114">
        <f t="shared" si="10"/>
        <v>-59592.54102974685</v>
      </c>
      <c r="AQ25" s="114">
        <f t="shared" si="10"/>
        <v>-65410.38275993892</v>
      </c>
      <c r="AR25" s="114">
        <f t="shared" si="10"/>
        <v>-66329.31855501322</v>
      </c>
      <c r="AS25" s="114">
        <f t="shared" si="10"/>
        <v>-82361.78920667781</v>
      </c>
      <c r="AT25" s="114">
        <f t="shared" si="10"/>
        <v>-137238.89741409168</v>
      </c>
      <c r="AU25" s="114">
        <f t="shared" si="10"/>
        <v>-167183.26980229781</v>
      </c>
      <c r="AV25" s="114">
        <f t="shared" si="10"/>
        <v>-207137.56559152075</v>
      </c>
      <c r="AW25" s="114">
        <f t="shared" si="10"/>
        <v>-220136.48391015758</v>
      </c>
      <c r="AX25" s="114">
        <f t="shared" si="10"/>
        <v>-225623.27388749958</v>
      </c>
      <c r="AY25" s="115">
        <f t="shared" si="10"/>
        <v>-238597.75697076065</v>
      </c>
    </row>
    <row r="26" spans="2:51" ht="12">
      <c r="B26" s="38" t="s">
        <v>6</v>
      </c>
      <c r="D26" s="27"/>
      <c r="E26" s="29"/>
      <c r="F26" s="56"/>
      <c r="G26" s="140"/>
      <c r="H26" s="110">
        <f aca="true" t="shared" si="11" ref="H26:AY26">H7-H11+H15-H20</f>
        <v>40762.5</v>
      </c>
      <c r="I26" s="111">
        <f t="shared" si="11"/>
        <v>42291.09375</v>
      </c>
      <c r="J26" s="111">
        <f t="shared" si="11"/>
        <v>43877.009765625</v>
      </c>
      <c r="K26" s="111">
        <f t="shared" si="11"/>
        <v>45522.397631835935</v>
      </c>
      <c r="L26" s="111">
        <f t="shared" si="11"/>
        <v>47229.48754302978</v>
      </c>
      <c r="M26" s="111">
        <f t="shared" si="11"/>
        <v>49000.5933258934</v>
      </c>
      <c r="N26" s="111">
        <f t="shared" si="11"/>
        <v>50838.115575614414</v>
      </c>
      <c r="O26" s="111">
        <f t="shared" si="11"/>
        <v>52744.54490969994</v>
      </c>
      <c r="P26" s="111">
        <f t="shared" si="11"/>
        <v>54722.465343813696</v>
      </c>
      <c r="Q26" s="163">
        <f t="shared" si="11"/>
        <v>56774.55779420672</v>
      </c>
      <c r="R26" s="157">
        <f t="shared" si="11"/>
        <v>58903.60371148946</v>
      </c>
      <c r="S26" s="111">
        <f t="shared" si="11"/>
        <v>61112.488850670314</v>
      </c>
      <c r="T26" s="111">
        <f t="shared" si="11"/>
        <v>55116.70718257045</v>
      </c>
      <c r="U26" s="111">
        <f t="shared" si="11"/>
        <v>47808.58370191684</v>
      </c>
      <c r="V26" s="111">
        <f t="shared" si="11"/>
        <v>49601.40559073872</v>
      </c>
      <c r="W26" s="111">
        <f t="shared" si="11"/>
        <v>51461.45830039143</v>
      </c>
      <c r="X26" s="111">
        <f t="shared" si="11"/>
        <v>53391.262986656104</v>
      </c>
      <c r="Y26" s="111">
        <f t="shared" si="11"/>
        <v>38518.435348655716</v>
      </c>
      <c r="Z26" s="111">
        <f t="shared" si="11"/>
        <v>24212.876674230298</v>
      </c>
      <c r="AA26" s="111">
        <f t="shared" si="11"/>
        <v>25120.859549513923</v>
      </c>
      <c r="AB26" s="111">
        <f t="shared" si="11"/>
        <v>26062.89178262069</v>
      </c>
      <c r="AC26" s="111">
        <f t="shared" si="11"/>
        <v>27040.25022446896</v>
      </c>
      <c r="AD26" s="111">
        <f t="shared" si="11"/>
        <v>28054.259607886554</v>
      </c>
      <c r="AE26" s="111">
        <f t="shared" si="11"/>
        <v>10356.294343182293</v>
      </c>
      <c r="AF26" s="111">
        <f t="shared" si="11"/>
        <v>10744.655381051634</v>
      </c>
      <c r="AG26" s="111">
        <f t="shared" si="11"/>
        <v>11147.579957841066</v>
      </c>
      <c r="AH26" s="111">
        <f t="shared" si="11"/>
        <v>11565.6142062601</v>
      </c>
      <c r="AI26" s="111">
        <f t="shared" si="11"/>
        <v>11999.32473899486</v>
      </c>
      <c r="AJ26" s="111">
        <f t="shared" si="11"/>
        <v>12449.29941670716</v>
      </c>
      <c r="AK26" s="111">
        <f t="shared" si="11"/>
        <v>12916.148144833693</v>
      </c>
      <c r="AL26" s="111">
        <f t="shared" si="11"/>
        <v>13400.50370026494</v>
      </c>
      <c r="AM26" s="111">
        <f t="shared" si="11"/>
        <v>13903.022589024884</v>
      </c>
      <c r="AN26" s="111">
        <f t="shared" si="11"/>
        <v>3174.3859361133145</v>
      </c>
      <c r="AO26" s="111">
        <f t="shared" si="11"/>
        <v>-4956.574591282435</v>
      </c>
      <c r="AP26" s="111">
        <f t="shared" si="11"/>
        <v>-5142.44613845554</v>
      </c>
      <c r="AQ26" s="111">
        <f t="shared" si="11"/>
        <v>-10960.287868647618</v>
      </c>
      <c r="AR26" s="111">
        <f t="shared" si="11"/>
        <v>-11371.2986637219</v>
      </c>
      <c r="AS26" s="111">
        <f t="shared" si="11"/>
        <v>-13297.722363611472</v>
      </c>
      <c r="AT26" s="111">
        <f t="shared" si="11"/>
        <v>-62546.3869522469</v>
      </c>
      <c r="AU26" s="111">
        <f t="shared" si="11"/>
        <v>-79891.87646295613</v>
      </c>
      <c r="AV26" s="111">
        <f t="shared" si="11"/>
        <v>-116637.82183031703</v>
      </c>
      <c r="AW26" s="111">
        <f t="shared" si="11"/>
        <v>-129636.74014895389</v>
      </c>
      <c r="AX26" s="111">
        <f t="shared" si="11"/>
        <v>-134498.11790453963</v>
      </c>
      <c r="AY26" s="112">
        <f t="shared" si="11"/>
        <v>-141229.2973259599</v>
      </c>
    </row>
    <row r="27" spans="3:51" ht="12">
      <c r="C27" s="27"/>
      <c r="D27" s="27"/>
      <c r="E27" s="29"/>
      <c r="F27" s="55"/>
      <c r="G27" s="139"/>
      <c r="H27" s="110"/>
      <c r="I27" s="111"/>
      <c r="J27" s="111"/>
      <c r="K27" s="111"/>
      <c r="L27" s="111"/>
      <c r="M27" s="111"/>
      <c r="N27" s="111"/>
      <c r="O27" s="111"/>
      <c r="P27" s="111"/>
      <c r="Q27" s="163"/>
      <c r="R27" s="157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2"/>
    </row>
    <row r="28" spans="1:51" ht="3.75" customHeight="1">
      <c r="A28" s="32"/>
      <c r="D28" s="105"/>
      <c r="E28" s="29"/>
      <c r="F28" s="29"/>
      <c r="G28" s="183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</row>
    <row r="29" spans="1:51" ht="24">
      <c r="A29" s="57" t="s">
        <v>47</v>
      </c>
      <c r="B29" s="57"/>
      <c r="C29" s="57"/>
      <c r="D29" s="109"/>
      <c r="E29" s="181" t="s">
        <v>45</v>
      </c>
      <c r="F29" s="179"/>
      <c r="G29" s="141" t="str">
        <f aca="true" t="shared" si="12" ref="G29:AY29">G9</f>
        <v>IST  betrieblich</v>
      </c>
      <c r="H29" s="119">
        <f t="shared" si="12"/>
        <v>2008</v>
      </c>
      <c r="I29" s="120">
        <f t="shared" si="12"/>
        <v>2009</v>
      </c>
      <c r="J29" s="120">
        <f t="shared" si="12"/>
        <v>2010</v>
      </c>
      <c r="K29" s="120">
        <f t="shared" si="12"/>
        <v>2011</v>
      </c>
      <c r="L29" s="120">
        <f t="shared" si="12"/>
        <v>2012</v>
      </c>
      <c r="M29" s="120">
        <f t="shared" si="12"/>
        <v>2013</v>
      </c>
      <c r="N29" s="120">
        <f t="shared" si="12"/>
        <v>2014</v>
      </c>
      <c r="O29" s="120">
        <f t="shared" si="12"/>
        <v>2015</v>
      </c>
      <c r="P29" s="120">
        <f t="shared" si="12"/>
        <v>2016</v>
      </c>
      <c r="Q29" s="165">
        <f t="shared" si="12"/>
        <v>2017</v>
      </c>
      <c r="R29" s="159">
        <f t="shared" si="12"/>
        <v>2018</v>
      </c>
      <c r="S29" s="120">
        <f t="shared" si="12"/>
        <v>2019</v>
      </c>
      <c r="T29" s="120">
        <f t="shared" si="12"/>
        <v>2020</v>
      </c>
      <c r="U29" s="120">
        <f t="shared" si="12"/>
        <v>2021</v>
      </c>
      <c r="V29" s="120">
        <f t="shared" si="12"/>
        <v>2022</v>
      </c>
      <c r="W29" s="120">
        <f t="shared" si="12"/>
        <v>2023</v>
      </c>
      <c r="X29" s="120">
        <f t="shared" si="12"/>
        <v>2024</v>
      </c>
      <c r="Y29" s="120">
        <f t="shared" si="12"/>
        <v>2025</v>
      </c>
      <c r="Z29" s="120">
        <f t="shared" si="12"/>
        <v>2026</v>
      </c>
      <c r="AA29" s="120">
        <f t="shared" si="12"/>
        <v>2027</v>
      </c>
      <c r="AB29" s="120">
        <f t="shared" si="12"/>
        <v>2028</v>
      </c>
      <c r="AC29" s="120">
        <f t="shared" si="12"/>
        <v>2029</v>
      </c>
      <c r="AD29" s="120">
        <f t="shared" si="12"/>
        <v>2030</v>
      </c>
      <c r="AE29" s="120">
        <f t="shared" si="12"/>
        <v>2031</v>
      </c>
      <c r="AF29" s="120">
        <f t="shared" si="12"/>
        <v>2032</v>
      </c>
      <c r="AG29" s="120">
        <f t="shared" si="12"/>
        <v>2033</v>
      </c>
      <c r="AH29" s="120">
        <f t="shared" si="12"/>
        <v>2034</v>
      </c>
      <c r="AI29" s="120">
        <f t="shared" si="12"/>
        <v>2035</v>
      </c>
      <c r="AJ29" s="120">
        <f t="shared" si="12"/>
        <v>2036</v>
      </c>
      <c r="AK29" s="120">
        <f t="shared" si="12"/>
        <v>2037</v>
      </c>
      <c r="AL29" s="120">
        <f t="shared" si="12"/>
        <v>2038</v>
      </c>
      <c r="AM29" s="120">
        <f t="shared" si="12"/>
        <v>2039</v>
      </c>
      <c r="AN29" s="120">
        <f t="shared" si="12"/>
        <v>2040</v>
      </c>
      <c r="AO29" s="120">
        <f t="shared" si="12"/>
        <v>2041</v>
      </c>
      <c r="AP29" s="120">
        <f t="shared" si="12"/>
        <v>2042</v>
      </c>
      <c r="AQ29" s="120">
        <f t="shared" si="12"/>
        <v>2043</v>
      </c>
      <c r="AR29" s="120">
        <f t="shared" si="12"/>
        <v>2044</v>
      </c>
      <c r="AS29" s="120">
        <f t="shared" si="12"/>
        <v>2045</v>
      </c>
      <c r="AT29" s="120">
        <f t="shared" si="12"/>
        <v>2046</v>
      </c>
      <c r="AU29" s="120">
        <f t="shared" si="12"/>
        <v>2047</v>
      </c>
      <c r="AV29" s="120">
        <f t="shared" si="12"/>
        <v>2048</v>
      </c>
      <c r="AW29" s="120">
        <f t="shared" si="12"/>
        <v>2049</v>
      </c>
      <c r="AX29" s="120">
        <f t="shared" si="12"/>
        <v>2050</v>
      </c>
      <c r="AY29" s="121">
        <f t="shared" si="12"/>
        <v>2051</v>
      </c>
    </row>
    <row r="30" spans="1:51" ht="4.5" customHeight="1">
      <c r="A30" s="32"/>
      <c r="D30" s="105"/>
      <c r="E30" s="29"/>
      <c r="F30" s="29"/>
      <c r="G30" s="183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</row>
    <row r="31" spans="1:51" ht="12">
      <c r="A31" s="35" t="s">
        <v>2</v>
      </c>
      <c r="D31" s="27"/>
      <c r="E31" s="29"/>
      <c r="F31" s="29"/>
      <c r="G31" s="142"/>
      <c r="H31" s="122"/>
      <c r="I31" s="123"/>
      <c r="J31" s="123"/>
      <c r="K31" s="123"/>
      <c r="L31" s="123"/>
      <c r="M31" s="123"/>
      <c r="N31" s="123"/>
      <c r="O31" s="124"/>
      <c r="P31" s="123"/>
      <c r="Q31" s="166"/>
      <c r="R31" s="160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5"/>
    </row>
    <row r="32" spans="1:51" ht="12">
      <c r="A32" s="35"/>
      <c r="B32" s="22" t="s">
        <v>36</v>
      </c>
      <c r="D32" s="27"/>
      <c r="E32" s="92"/>
      <c r="F32" s="29"/>
      <c r="G32" s="139">
        <f>E32</f>
        <v>0</v>
      </c>
      <c r="H32" s="110">
        <f>IF(H54&gt;0,H54,0)</f>
        <v>0</v>
      </c>
      <c r="I32" s="111">
        <f aca="true" t="shared" si="13" ref="I32:AA32">IF(I54&gt;0,I54,0)</f>
        <v>0</v>
      </c>
      <c r="J32" s="111">
        <f t="shared" si="13"/>
        <v>0</v>
      </c>
      <c r="K32" s="111">
        <f t="shared" si="13"/>
        <v>0</v>
      </c>
      <c r="L32" s="111">
        <f t="shared" si="13"/>
        <v>0</v>
      </c>
      <c r="M32" s="111">
        <f t="shared" si="13"/>
        <v>0</v>
      </c>
      <c r="N32" s="111">
        <f t="shared" si="13"/>
        <v>6521.197591998549</v>
      </c>
      <c r="O32" s="111">
        <f t="shared" si="13"/>
        <v>59265.742501698485</v>
      </c>
      <c r="P32" s="111">
        <f t="shared" si="13"/>
        <v>113988.20784551218</v>
      </c>
      <c r="Q32" s="163">
        <f t="shared" si="13"/>
        <v>170762.7656397189</v>
      </c>
      <c r="R32" s="157">
        <f t="shared" si="13"/>
        <v>229666.36935120838</v>
      </c>
      <c r="S32" s="111">
        <f t="shared" si="13"/>
        <v>69778.85820187873</v>
      </c>
      <c r="T32" s="111">
        <f t="shared" si="13"/>
        <v>0</v>
      </c>
      <c r="U32" s="111">
        <f t="shared" si="13"/>
        <v>0</v>
      </c>
      <c r="V32" s="111">
        <f t="shared" si="13"/>
        <v>0</v>
      </c>
      <c r="W32" s="111">
        <f t="shared" si="13"/>
        <v>23767.012977496168</v>
      </c>
      <c r="X32" s="111">
        <f t="shared" si="13"/>
        <v>0</v>
      </c>
      <c r="Y32" s="111">
        <f t="shared" si="13"/>
        <v>0</v>
      </c>
      <c r="Z32" s="111">
        <f t="shared" si="13"/>
        <v>0</v>
      </c>
      <c r="AA32" s="111">
        <f t="shared" si="13"/>
        <v>0</v>
      </c>
      <c r="AB32" s="111">
        <f>IF(AB54&gt;0,AB54,0)</f>
        <v>0</v>
      </c>
      <c r="AC32" s="111">
        <f aca="true" t="shared" si="14" ref="AC32:AY32">IF(AC54&gt;0,AC54,0)</f>
        <v>0</v>
      </c>
      <c r="AD32" s="111">
        <f t="shared" si="14"/>
        <v>0</v>
      </c>
      <c r="AE32" s="111">
        <f t="shared" si="14"/>
        <v>0</v>
      </c>
      <c r="AF32" s="111">
        <f t="shared" si="14"/>
        <v>0</v>
      </c>
      <c r="AG32" s="111">
        <f t="shared" si="14"/>
        <v>0</v>
      </c>
      <c r="AH32" s="111">
        <f t="shared" si="14"/>
        <v>0</v>
      </c>
      <c r="AI32" s="111">
        <f t="shared" si="14"/>
        <v>0</v>
      </c>
      <c r="AJ32" s="111">
        <f t="shared" si="14"/>
        <v>0</v>
      </c>
      <c r="AK32" s="111">
        <f t="shared" si="14"/>
        <v>0</v>
      </c>
      <c r="AL32" s="111">
        <f t="shared" si="14"/>
        <v>0</v>
      </c>
      <c r="AM32" s="111">
        <f t="shared" si="14"/>
        <v>0</v>
      </c>
      <c r="AN32" s="111">
        <f t="shared" si="14"/>
        <v>0</v>
      </c>
      <c r="AO32" s="111">
        <f t="shared" si="14"/>
        <v>0</v>
      </c>
      <c r="AP32" s="111">
        <f t="shared" si="14"/>
        <v>0</v>
      </c>
      <c r="AQ32" s="111">
        <f t="shared" si="14"/>
        <v>0</v>
      </c>
      <c r="AR32" s="111">
        <f t="shared" si="14"/>
        <v>0</v>
      </c>
      <c r="AS32" s="111">
        <f t="shared" si="14"/>
        <v>0</v>
      </c>
      <c r="AT32" s="111">
        <f t="shared" si="14"/>
        <v>0</v>
      </c>
      <c r="AU32" s="111">
        <f t="shared" si="14"/>
        <v>0</v>
      </c>
      <c r="AV32" s="111">
        <f t="shared" si="14"/>
        <v>0</v>
      </c>
      <c r="AW32" s="111">
        <f t="shared" si="14"/>
        <v>0</v>
      </c>
      <c r="AX32" s="111">
        <f t="shared" si="14"/>
        <v>0</v>
      </c>
      <c r="AY32" s="112">
        <f t="shared" si="14"/>
        <v>0</v>
      </c>
    </row>
    <row r="33" spans="1:51" ht="12">
      <c r="A33" s="35"/>
      <c r="C33" s="25"/>
      <c r="D33" s="27"/>
      <c r="E33" s="29"/>
      <c r="F33" s="62"/>
      <c r="G33" s="143"/>
      <c r="H33" s="110"/>
      <c r="I33" s="111"/>
      <c r="J33" s="111"/>
      <c r="K33" s="111"/>
      <c r="L33" s="111"/>
      <c r="M33" s="111"/>
      <c r="N33" s="111"/>
      <c r="O33" s="126"/>
      <c r="P33" s="111"/>
      <c r="Q33" s="163"/>
      <c r="R33" s="157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2"/>
    </row>
    <row r="34" spans="1:51" ht="12">
      <c r="A34" s="22">
        <v>11</v>
      </c>
      <c r="B34" s="22" t="s">
        <v>3</v>
      </c>
      <c r="C34" s="27"/>
      <c r="D34" s="27"/>
      <c r="E34" s="29">
        <f>SUM(E35:E39)</f>
        <v>754000</v>
      </c>
      <c r="F34" s="29"/>
      <c r="G34" s="139">
        <f>SUM(G35:G39)</f>
        <v>754000</v>
      </c>
      <c r="H34" s="110">
        <f>G34-H21+H56</f>
        <v>731247.8577053744</v>
      </c>
      <c r="I34" s="111">
        <f aca="true" t="shared" si="15" ref="I34:AY34">H34-I21+I56</f>
        <v>708495.7154107487</v>
      </c>
      <c r="J34" s="111">
        <f t="shared" si="15"/>
        <v>685743.5731161231</v>
      </c>
      <c r="K34" s="111">
        <f t="shared" si="15"/>
        <v>662991.4308214975</v>
      </c>
      <c r="L34" s="111">
        <f t="shared" si="15"/>
        <v>640239.2885268718</v>
      </c>
      <c r="M34" s="111">
        <f t="shared" si="15"/>
        <v>617487.1462322462</v>
      </c>
      <c r="N34" s="111">
        <f t="shared" si="15"/>
        <v>594735.0039376206</v>
      </c>
      <c r="O34" s="111">
        <f t="shared" si="15"/>
        <v>571982.8616429949</v>
      </c>
      <c r="P34" s="111">
        <f t="shared" si="15"/>
        <v>549230.7193483693</v>
      </c>
      <c r="Q34" s="163">
        <f t="shared" si="15"/>
        <v>526478.5770537436</v>
      </c>
      <c r="R34" s="157">
        <f t="shared" si="15"/>
        <v>503726.434759118</v>
      </c>
      <c r="S34" s="111">
        <f t="shared" si="15"/>
        <v>690550.2773129772</v>
      </c>
      <c r="T34" s="111">
        <f t="shared" si="15"/>
        <v>902807.4981130826</v>
      </c>
      <c r="U34" s="111">
        <f t="shared" si="15"/>
        <v>865064.718913188</v>
      </c>
      <c r="V34" s="111">
        <f t="shared" si="15"/>
        <v>827321.9397132933</v>
      </c>
      <c r="W34" s="111">
        <f t="shared" si="15"/>
        <v>789579.1605133987</v>
      </c>
      <c r="X34" s="111">
        <f t="shared" si="15"/>
        <v>1195419.2220826407</v>
      </c>
      <c r="Y34" s="111">
        <f t="shared" si="15"/>
        <v>1563586.4166961801</v>
      </c>
      <c r="Z34" s="111">
        <f t="shared" si="15"/>
        <v>1511753.6113097195</v>
      </c>
      <c r="AA34" s="111">
        <f t="shared" si="15"/>
        <v>1459920.805923259</v>
      </c>
      <c r="AB34" s="111">
        <f t="shared" si="15"/>
        <v>1408088.0005367983</v>
      </c>
      <c r="AC34" s="111">
        <f t="shared" si="15"/>
        <v>1356255.1951503376</v>
      </c>
      <c r="AD34" s="111">
        <f t="shared" si="15"/>
        <v>1797300.0667422162</v>
      </c>
      <c r="AE34" s="111">
        <f t="shared" si="15"/>
        <v>1738344.9383340948</v>
      </c>
      <c r="AF34" s="111">
        <f t="shared" si="15"/>
        <v>1679389.8099259734</v>
      </c>
      <c r="AG34" s="111">
        <f t="shared" si="15"/>
        <v>1620434.681517852</v>
      </c>
      <c r="AH34" s="111">
        <f t="shared" si="15"/>
        <v>1576212.8864430638</v>
      </c>
      <c r="AI34" s="111">
        <f t="shared" si="15"/>
        <v>1531991.0913682757</v>
      </c>
      <c r="AJ34" s="111">
        <f t="shared" si="15"/>
        <v>1487769.2962934875</v>
      </c>
      <c r="AK34" s="111">
        <f t="shared" si="15"/>
        <v>1443547.5012186994</v>
      </c>
      <c r="AL34" s="111">
        <f t="shared" si="15"/>
        <v>1399325.7061439112</v>
      </c>
      <c r="AM34" s="111">
        <f t="shared" si="15"/>
        <v>1649758.2889493075</v>
      </c>
      <c r="AN34" s="111">
        <f t="shared" si="15"/>
        <v>1817073.1056168398</v>
      </c>
      <c r="AO34" s="111">
        <f t="shared" si="15"/>
        <v>1764387.9222843722</v>
      </c>
      <c r="AP34" s="111">
        <f t="shared" si="15"/>
        <v>1859937.8273930808</v>
      </c>
      <c r="AQ34" s="111">
        <f t="shared" si="15"/>
        <v>1805487.7325017895</v>
      </c>
      <c r="AR34" s="111">
        <f t="shared" si="15"/>
        <v>1790529.712610498</v>
      </c>
      <c r="AS34" s="111">
        <f t="shared" si="15"/>
        <v>3021465.6457674317</v>
      </c>
      <c r="AT34" s="111">
        <f t="shared" si="15"/>
        <v>3346773.1353055867</v>
      </c>
      <c r="AU34" s="111">
        <f t="shared" si="15"/>
        <v>4159481.741966245</v>
      </c>
      <c r="AV34" s="111">
        <f t="shared" si="15"/>
        <v>4298981.9982050415</v>
      </c>
      <c r="AW34" s="111">
        <f t="shared" si="15"/>
        <v>4208482.254443837</v>
      </c>
      <c r="AX34" s="111">
        <f t="shared" si="15"/>
        <v>4162357.0984608773</v>
      </c>
      <c r="AY34" s="112">
        <f t="shared" si="15"/>
        <v>4514988.638816076</v>
      </c>
    </row>
    <row r="35" spans="2:51" ht="12">
      <c r="B35" s="34">
        <v>1140</v>
      </c>
      <c r="C35" s="27" t="s">
        <v>19</v>
      </c>
      <c r="D35" s="27"/>
      <c r="E35" s="92"/>
      <c r="F35" s="29"/>
      <c r="G35" s="139">
        <f>E35</f>
        <v>0</v>
      </c>
      <c r="H35" s="110"/>
      <c r="I35" s="111"/>
      <c r="J35" s="111"/>
      <c r="K35" s="111"/>
      <c r="L35" s="111"/>
      <c r="M35" s="111"/>
      <c r="N35" s="111"/>
      <c r="O35" s="111"/>
      <c r="P35" s="111"/>
      <c r="Q35" s="163"/>
      <c r="R35" s="157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2"/>
    </row>
    <row r="36" spans="2:51" ht="12">
      <c r="B36" s="34">
        <v>1141</v>
      </c>
      <c r="C36" s="27" t="s">
        <v>20</v>
      </c>
      <c r="D36" s="27"/>
      <c r="E36" s="92">
        <v>754000</v>
      </c>
      <c r="F36" s="29"/>
      <c r="G36" s="139">
        <f>E36</f>
        <v>754000</v>
      </c>
      <c r="H36" s="110"/>
      <c r="I36" s="111"/>
      <c r="J36" s="111"/>
      <c r="K36" s="111"/>
      <c r="L36" s="111"/>
      <c r="M36" s="111"/>
      <c r="N36" s="111"/>
      <c r="O36" s="111"/>
      <c r="P36" s="111"/>
      <c r="Q36" s="163"/>
      <c r="R36" s="157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2"/>
    </row>
    <row r="37" spans="2:51" ht="12">
      <c r="B37" s="34">
        <v>1143</v>
      </c>
      <c r="C37" s="27" t="s">
        <v>21</v>
      </c>
      <c r="D37" s="27"/>
      <c r="E37" s="92"/>
      <c r="F37" s="29"/>
      <c r="G37" s="139">
        <f>E37</f>
        <v>0</v>
      </c>
      <c r="H37" s="110"/>
      <c r="I37" s="111"/>
      <c r="J37" s="111"/>
      <c r="K37" s="111"/>
      <c r="L37" s="111"/>
      <c r="M37" s="111"/>
      <c r="N37" s="111"/>
      <c r="O37" s="111"/>
      <c r="P37" s="111"/>
      <c r="Q37" s="163"/>
      <c r="R37" s="157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2"/>
    </row>
    <row r="38" spans="2:51" ht="12">
      <c r="B38" s="34">
        <v>1146</v>
      </c>
      <c r="C38" s="27" t="s">
        <v>22</v>
      </c>
      <c r="D38" s="27"/>
      <c r="E38" s="92"/>
      <c r="F38" s="29"/>
      <c r="G38" s="139">
        <f>E38</f>
        <v>0</v>
      </c>
      <c r="H38" s="110"/>
      <c r="I38" s="111"/>
      <c r="J38" s="111"/>
      <c r="K38" s="111"/>
      <c r="L38" s="111"/>
      <c r="M38" s="111"/>
      <c r="N38" s="111"/>
      <c r="O38" s="111"/>
      <c r="P38" s="111"/>
      <c r="Q38" s="163"/>
      <c r="R38" s="157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2"/>
    </row>
    <row r="39" spans="2:51" ht="6" customHeight="1">
      <c r="B39" s="34"/>
      <c r="C39" s="27"/>
      <c r="D39" s="27"/>
      <c r="E39" s="94"/>
      <c r="F39" s="29"/>
      <c r="G39" s="139"/>
      <c r="H39" s="110"/>
      <c r="I39" s="111"/>
      <c r="J39" s="111"/>
      <c r="K39" s="111"/>
      <c r="L39" s="111"/>
      <c r="M39" s="111"/>
      <c r="N39" s="111"/>
      <c r="O39" s="111"/>
      <c r="P39" s="111"/>
      <c r="Q39" s="163"/>
      <c r="R39" s="157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2"/>
    </row>
    <row r="40" spans="1:51" ht="12">
      <c r="A40" s="22">
        <v>1280</v>
      </c>
      <c r="B40" s="22" t="s">
        <v>23</v>
      </c>
      <c r="C40" s="39"/>
      <c r="D40" s="27"/>
      <c r="E40" s="92"/>
      <c r="F40" s="29"/>
      <c r="G40" s="139">
        <f>E40</f>
        <v>0</v>
      </c>
      <c r="H40" s="110">
        <f>IF(H53&lt;0,-H53,0)</f>
        <v>0</v>
      </c>
      <c r="I40" s="111">
        <f aca="true" t="shared" si="16" ref="I40:V40">IF(I53&lt;0,-I53,0)</f>
        <v>0</v>
      </c>
      <c r="J40" s="111">
        <f t="shared" si="16"/>
        <v>0</v>
      </c>
      <c r="K40" s="111">
        <f t="shared" si="16"/>
        <v>0</v>
      </c>
      <c r="L40" s="111">
        <f t="shared" si="16"/>
        <v>0</v>
      </c>
      <c r="M40" s="111">
        <f t="shared" si="16"/>
        <v>0</v>
      </c>
      <c r="N40" s="111">
        <f t="shared" si="16"/>
        <v>0</v>
      </c>
      <c r="O40" s="111">
        <f t="shared" si="16"/>
        <v>0</v>
      </c>
      <c r="P40" s="111">
        <f t="shared" si="16"/>
        <v>0</v>
      </c>
      <c r="Q40" s="163">
        <f t="shared" si="16"/>
        <v>0</v>
      </c>
      <c r="R40" s="157">
        <f t="shared" si="16"/>
        <v>0</v>
      </c>
      <c r="S40" s="111">
        <f t="shared" si="16"/>
        <v>0</v>
      </c>
      <c r="T40" s="111">
        <f t="shared" si="16"/>
        <v>0</v>
      </c>
      <c r="U40" s="111">
        <f t="shared" si="16"/>
        <v>0</v>
      </c>
      <c r="V40" s="111">
        <f t="shared" si="16"/>
        <v>0</v>
      </c>
      <c r="W40" s="111">
        <f aca="true" t="shared" si="17" ref="W40:AB40">IF(W53&lt;0,-W53,0)</f>
        <v>0</v>
      </c>
      <c r="X40" s="111">
        <f t="shared" si="17"/>
        <v>0</v>
      </c>
      <c r="Y40" s="111">
        <f t="shared" si="17"/>
        <v>0</v>
      </c>
      <c r="Z40" s="111">
        <f t="shared" si="17"/>
        <v>0</v>
      </c>
      <c r="AA40" s="111">
        <f t="shared" si="17"/>
        <v>0</v>
      </c>
      <c r="AB40" s="111">
        <f t="shared" si="17"/>
        <v>0</v>
      </c>
      <c r="AC40" s="111">
        <f aca="true" t="shared" si="18" ref="AC40:AY40">IF(AC53&lt;0,-AC53,0)</f>
        <v>0</v>
      </c>
      <c r="AD40" s="111">
        <f t="shared" si="18"/>
        <v>0</v>
      </c>
      <c r="AE40" s="111">
        <f t="shared" si="18"/>
        <v>0</v>
      </c>
      <c r="AF40" s="111">
        <f t="shared" si="18"/>
        <v>0</v>
      </c>
      <c r="AG40" s="111">
        <f t="shared" si="18"/>
        <v>0</v>
      </c>
      <c r="AH40" s="111">
        <f t="shared" si="18"/>
        <v>0</v>
      </c>
      <c r="AI40" s="111">
        <f t="shared" si="18"/>
        <v>0</v>
      </c>
      <c r="AJ40" s="111">
        <f t="shared" si="18"/>
        <v>0</v>
      </c>
      <c r="AK40" s="111">
        <f t="shared" si="18"/>
        <v>0</v>
      </c>
      <c r="AL40" s="111">
        <f t="shared" si="18"/>
        <v>0</v>
      </c>
      <c r="AM40" s="111">
        <f t="shared" si="18"/>
        <v>0</v>
      </c>
      <c r="AN40" s="111">
        <f t="shared" si="18"/>
        <v>0</v>
      </c>
      <c r="AO40" s="111">
        <f t="shared" si="18"/>
        <v>0</v>
      </c>
      <c r="AP40" s="111">
        <f t="shared" si="18"/>
        <v>0</v>
      </c>
      <c r="AQ40" s="111">
        <f t="shared" si="18"/>
        <v>0</v>
      </c>
      <c r="AR40" s="111">
        <f t="shared" si="18"/>
        <v>0</v>
      </c>
      <c r="AS40" s="111">
        <f t="shared" si="18"/>
        <v>46438.00629248563</v>
      </c>
      <c r="AT40" s="111">
        <f t="shared" si="18"/>
        <v>183676.90370657732</v>
      </c>
      <c r="AU40" s="111">
        <f t="shared" si="18"/>
        <v>350860.17350887513</v>
      </c>
      <c r="AV40" s="111">
        <f t="shared" si="18"/>
        <v>557997.7391003959</v>
      </c>
      <c r="AW40" s="111">
        <f t="shared" si="18"/>
        <v>778134.2230105535</v>
      </c>
      <c r="AX40" s="111">
        <f t="shared" si="18"/>
        <v>1003757.4968980531</v>
      </c>
      <c r="AY40" s="112">
        <f t="shared" si="18"/>
        <v>1242355.2538688136</v>
      </c>
    </row>
    <row r="41" spans="3:51" ht="3.75" customHeight="1">
      <c r="C41" s="39"/>
      <c r="D41" s="27"/>
      <c r="E41" s="29"/>
      <c r="F41" s="29"/>
      <c r="G41" s="139"/>
      <c r="H41" s="110"/>
      <c r="I41" s="111"/>
      <c r="J41" s="111"/>
      <c r="K41" s="111"/>
      <c r="L41" s="111"/>
      <c r="M41" s="111"/>
      <c r="N41" s="111"/>
      <c r="O41" s="111"/>
      <c r="P41" s="111"/>
      <c r="Q41" s="163"/>
      <c r="R41" s="157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2"/>
    </row>
    <row r="42" spans="1:51" ht="12">
      <c r="A42" s="58" t="s">
        <v>39</v>
      </c>
      <c r="B42" s="28"/>
      <c r="C42" s="59"/>
      <c r="D42" s="58"/>
      <c r="E42" s="60">
        <f>E32+E34+E40</f>
        <v>754000</v>
      </c>
      <c r="F42" s="60"/>
      <c r="G42" s="144">
        <f>G32+G34+G40</f>
        <v>754000</v>
      </c>
      <c r="H42" s="127">
        <f>H32+H34+H40</f>
        <v>731247.8577053744</v>
      </c>
      <c r="I42" s="128">
        <f aca="true" t="shared" si="19" ref="I42:AA42">I32+I34+I40</f>
        <v>708495.7154107487</v>
      </c>
      <c r="J42" s="128">
        <f t="shared" si="19"/>
        <v>685743.5731161231</v>
      </c>
      <c r="K42" s="128">
        <f t="shared" si="19"/>
        <v>662991.4308214975</v>
      </c>
      <c r="L42" s="128">
        <f t="shared" si="19"/>
        <v>640239.2885268718</v>
      </c>
      <c r="M42" s="128">
        <f t="shared" si="19"/>
        <v>617487.1462322462</v>
      </c>
      <c r="N42" s="128">
        <f t="shared" si="19"/>
        <v>601256.201529619</v>
      </c>
      <c r="O42" s="128">
        <f t="shared" si="19"/>
        <v>631248.6041446934</v>
      </c>
      <c r="P42" s="128">
        <f t="shared" si="19"/>
        <v>663218.9271938815</v>
      </c>
      <c r="Q42" s="167">
        <f t="shared" si="19"/>
        <v>697241.3426934625</v>
      </c>
      <c r="R42" s="161">
        <f t="shared" si="19"/>
        <v>733392.8041103263</v>
      </c>
      <c r="S42" s="128">
        <f t="shared" si="19"/>
        <v>760329.135514856</v>
      </c>
      <c r="T42" s="128">
        <f t="shared" si="19"/>
        <v>902807.4981130826</v>
      </c>
      <c r="U42" s="128">
        <f t="shared" si="19"/>
        <v>865064.718913188</v>
      </c>
      <c r="V42" s="128">
        <f t="shared" si="19"/>
        <v>827321.9397132933</v>
      </c>
      <c r="W42" s="128">
        <f t="shared" si="19"/>
        <v>813346.1734908948</v>
      </c>
      <c r="X42" s="128">
        <f t="shared" si="19"/>
        <v>1195419.2220826407</v>
      </c>
      <c r="Y42" s="128">
        <f t="shared" si="19"/>
        <v>1563586.4166961801</v>
      </c>
      <c r="Z42" s="128">
        <f t="shared" si="19"/>
        <v>1511753.6113097195</v>
      </c>
      <c r="AA42" s="128">
        <f t="shared" si="19"/>
        <v>1459920.805923259</v>
      </c>
      <c r="AB42" s="128">
        <f>AB32+AB34+AB40</f>
        <v>1408088.0005367983</v>
      </c>
      <c r="AC42" s="128">
        <f aca="true" t="shared" si="20" ref="AC42:AY42">AC32+AC34+AC40</f>
        <v>1356255.1951503376</v>
      </c>
      <c r="AD42" s="128">
        <f t="shared" si="20"/>
        <v>1797300.0667422162</v>
      </c>
      <c r="AE42" s="128">
        <f t="shared" si="20"/>
        <v>1738344.9383340948</v>
      </c>
      <c r="AF42" s="128">
        <f t="shared" si="20"/>
        <v>1679389.8099259734</v>
      </c>
      <c r="AG42" s="128">
        <f t="shared" si="20"/>
        <v>1620434.681517852</v>
      </c>
      <c r="AH42" s="128">
        <f t="shared" si="20"/>
        <v>1576212.8864430638</v>
      </c>
      <c r="AI42" s="128">
        <f t="shared" si="20"/>
        <v>1531991.0913682757</v>
      </c>
      <c r="AJ42" s="128">
        <f t="shared" si="20"/>
        <v>1487769.2962934875</v>
      </c>
      <c r="AK42" s="128">
        <f t="shared" si="20"/>
        <v>1443547.5012186994</v>
      </c>
      <c r="AL42" s="128">
        <f t="shared" si="20"/>
        <v>1399325.7061439112</v>
      </c>
      <c r="AM42" s="128">
        <f t="shared" si="20"/>
        <v>1649758.2889493075</v>
      </c>
      <c r="AN42" s="128">
        <f t="shared" si="20"/>
        <v>1817073.1056168398</v>
      </c>
      <c r="AO42" s="128">
        <f t="shared" si="20"/>
        <v>1764387.9222843722</v>
      </c>
      <c r="AP42" s="128">
        <f t="shared" si="20"/>
        <v>1859937.8273930808</v>
      </c>
      <c r="AQ42" s="128">
        <f t="shared" si="20"/>
        <v>1805487.7325017895</v>
      </c>
      <c r="AR42" s="128">
        <f t="shared" si="20"/>
        <v>1790529.712610498</v>
      </c>
      <c r="AS42" s="128">
        <f t="shared" si="20"/>
        <v>3067903.6520599173</v>
      </c>
      <c r="AT42" s="128">
        <f t="shared" si="20"/>
        <v>3530450.039012164</v>
      </c>
      <c r="AU42" s="128">
        <f t="shared" si="20"/>
        <v>4510341.915475121</v>
      </c>
      <c r="AV42" s="128">
        <f t="shared" si="20"/>
        <v>4856979.737305437</v>
      </c>
      <c r="AW42" s="128">
        <f t="shared" si="20"/>
        <v>4986616.47745439</v>
      </c>
      <c r="AX42" s="128">
        <f t="shared" si="20"/>
        <v>5166114.5953589305</v>
      </c>
      <c r="AY42" s="129">
        <f t="shared" si="20"/>
        <v>5757343.89268489</v>
      </c>
    </row>
    <row r="43" spans="3:51" ht="12">
      <c r="C43" s="39"/>
      <c r="D43" s="27"/>
      <c r="E43" s="29"/>
      <c r="F43" s="29"/>
      <c r="G43" s="139"/>
      <c r="H43" s="110"/>
      <c r="I43" s="111"/>
      <c r="J43" s="111"/>
      <c r="K43" s="111"/>
      <c r="L43" s="111"/>
      <c r="M43" s="111"/>
      <c r="N43" s="111"/>
      <c r="O43" s="111"/>
      <c r="P43" s="111"/>
      <c r="Q43" s="163"/>
      <c r="R43" s="157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2"/>
    </row>
    <row r="44" spans="1:51" ht="12">
      <c r="A44" s="35" t="s">
        <v>4</v>
      </c>
      <c r="D44" s="27"/>
      <c r="E44" s="29"/>
      <c r="F44" s="29"/>
      <c r="G44" s="140"/>
      <c r="H44" s="113"/>
      <c r="I44" s="114"/>
      <c r="J44" s="114"/>
      <c r="K44" s="114"/>
      <c r="L44" s="114"/>
      <c r="M44" s="114"/>
      <c r="N44" s="114"/>
      <c r="O44" s="114"/>
      <c r="P44" s="114"/>
      <c r="Q44" s="164"/>
      <c r="R44" s="158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5"/>
    </row>
    <row r="45" spans="2:51" ht="12">
      <c r="B45" s="22" t="s">
        <v>35</v>
      </c>
      <c r="C45" s="35"/>
      <c r="D45" s="27"/>
      <c r="E45" s="92">
        <v>313000</v>
      </c>
      <c r="F45" s="29"/>
      <c r="G45" s="139">
        <f>E45</f>
        <v>313000</v>
      </c>
      <c r="H45" s="110">
        <f>IF(H54&gt;0,0,-H54)</f>
        <v>272237.5</v>
      </c>
      <c r="I45" s="111">
        <f aca="true" t="shared" si="21" ref="I45:AA45">IF(I54&gt;0,0,-I54)</f>
        <v>229946.40625</v>
      </c>
      <c r="J45" s="111">
        <f t="shared" si="21"/>
        <v>186069.396484375</v>
      </c>
      <c r="K45" s="111">
        <f t="shared" si="21"/>
        <v>140546.99885253905</v>
      </c>
      <c r="L45" s="111">
        <f t="shared" si="21"/>
        <v>93317.51130950927</v>
      </c>
      <c r="M45" s="111">
        <f t="shared" si="21"/>
        <v>44316.917983615866</v>
      </c>
      <c r="N45" s="111">
        <f t="shared" si="21"/>
        <v>0</v>
      </c>
      <c r="O45" s="111">
        <f t="shared" si="21"/>
        <v>0</v>
      </c>
      <c r="P45" s="111">
        <f t="shared" si="21"/>
        <v>0</v>
      </c>
      <c r="Q45" s="163">
        <f t="shared" si="21"/>
        <v>0</v>
      </c>
      <c r="R45" s="157">
        <f t="shared" si="21"/>
        <v>0</v>
      </c>
      <c r="S45" s="111">
        <f t="shared" si="21"/>
        <v>0</v>
      </c>
      <c r="T45" s="111">
        <f t="shared" si="21"/>
        <v>125104.43461555082</v>
      </c>
      <c r="U45" s="111">
        <f t="shared" si="21"/>
        <v>77295.85091363399</v>
      </c>
      <c r="V45" s="111">
        <f t="shared" si="21"/>
        <v>27694.445322895263</v>
      </c>
      <c r="W45" s="111">
        <f t="shared" si="21"/>
        <v>0</v>
      </c>
      <c r="X45" s="111">
        <f t="shared" si="21"/>
        <v>372841.7240358477</v>
      </c>
      <c r="Y45" s="111">
        <f t="shared" si="21"/>
        <v>754323.2886871919</v>
      </c>
      <c r="Z45" s="111">
        <f t="shared" si="21"/>
        <v>730110.4120129616</v>
      </c>
      <c r="AA45" s="111">
        <f t="shared" si="21"/>
        <v>704989.5524634477</v>
      </c>
      <c r="AB45" s="111">
        <f>IF(AB54&gt;0,0,-AB54)</f>
        <v>678926.660680827</v>
      </c>
      <c r="AC45" s="111">
        <f aca="true" t="shared" si="22" ref="AC45:AY45">IF(AC54&gt;0,0,-AC54)</f>
        <v>651886.410456358</v>
      </c>
      <c r="AD45" s="111">
        <f t="shared" si="22"/>
        <v>1123832.1508484716</v>
      </c>
      <c r="AE45" s="111">
        <f t="shared" si="22"/>
        <v>1113475.8565052892</v>
      </c>
      <c r="AF45" s="111">
        <f t="shared" si="22"/>
        <v>1102731.2011242376</v>
      </c>
      <c r="AG45" s="111">
        <f t="shared" si="22"/>
        <v>1091583.6211663967</v>
      </c>
      <c r="AH45" s="111">
        <f t="shared" si="22"/>
        <v>1080018.0069601366</v>
      </c>
      <c r="AI45" s="111">
        <f t="shared" si="22"/>
        <v>1068018.6822211416</v>
      </c>
      <c r="AJ45" s="111">
        <f t="shared" si="22"/>
        <v>1055569.3828044345</v>
      </c>
      <c r="AK45" s="111">
        <f t="shared" si="22"/>
        <v>1042653.2346596008</v>
      </c>
      <c r="AL45" s="111">
        <f t="shared" si="22"/>
        <v>1029252.7309593358</v>
      </c>
      <c r="AM45" s="111">
        <f t="shared" si="22"/>
        <v>1315349.708370311</v>
      </c>
      <c r="AN45" s="111">
        <f t="shared" si="22"/>
        <v>1532175.3224341976</v>
      </c>
      <c r="AO45" s="111">
        <f t="shared" si="22"/>
        <v>1537131.8970254802</v>
      </c>
      <c r="AP45" s="111">
        <f t="shared" si="22"/>
        <v>1692274.3431639357</v>
      </c>
      <c r="AQ45" s="111">
        <f t="shared" si="22"/>
        <v>1703234.6310325833</v>
      </c>
      <c r="AR45" s="111">
        <f t="shared" si="22"/>
        <v>1754605.9296963052</v>
      </c>
      <c r="AS45" s="111">
        <f t="shared" si="22"/>
        <v>3067903.6520599164</v>
      </c>
      <c r="AT45" s="111">
        <f t="shared" si="22"/>
        <v>3530450.0390121634</v>
      </c>
      <c r="AU45" s="111">
        <f t="shared" si="22"/>
        <v>4510341.915475119</v>
      </c>
      <c r="AV45" s="111">
        <f t="shared" si="22"/>
        <v>4856979.737305436</v>
      </c>
      <c r="AW45" s="111">
        <f t="shared" si="22"/>
        <v>4986616.47745439</v>
      </c>
      <c r="AX45" s="111">
        <f t="shared" si="22"/>
        <v>5166114.59535893</v>
      </c>
      <c r="AY45" s="112">
        <f t="shared" si="22"/>
        <v>5757343.89268489</v>
      </c>
    </row>
    <row r="46" spans="3:51" ht="3.75" customHeight="1">
      <c r="C46" s="35"/>
      <c r="D46" s="27"/>
      <c r="E46" s="94"/>
      <c r="F46" s="29"/>
      <c r="G46" s="139"/>
      <c r="H46" s="113"/>
      <c r="I46" s="114"/>
      <c r="J46" s="114"/>
      <c r="K46" s="114"/>
      <c r="L46" s="114"/>
      <c r="M46" s="114"/>
      <c r="N46" s="114"/>
      <c r="O46" s="114"/>
      <c r="P46" s="114"/>
      <c r="Q46" s="164"/>
      <c r="R46" s="158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5"/>
    </row>
    <row r="47" spans="1:51" ht="12">
      <c r="A47" s="22">
        <v>2280</v>
      </c>
      <c r="B47" s="22" t="s">
        <v>25</v>
      </c>
      <c r="C47" s="27"/>
      <c r="D47" s="27"/>
      <c r="E47" s="95">
        <v>441000</v>
      </c>
      <c r="F47" s="29"/>
      <c r="G47" s="145">
        <f>E47</f>
        <v>441000</v>
      </c>
      <c r="H47" s="110">
        <f>IF(H53&gt;0,H53,0)</f>
        <v>459010.35770537436</v>
      </c>
      <c r="I47" s="111">
        <f aca="true" t="shared" si="23" ref="I47:V47">IF(I53&gt;0,I53,0)</f>
        <v>478549.30916074873</v>
      </c>
      <c r="J47" s="111">
        <f t="shared" si="23"/>
        <v>499674.1766317481</v>
      </c>
      <c r="K47" s="111">
        <f t="shared" si="23"/>
        <v>522444.4319689584</v>
      </c>
      <c r="L47" s="111">
        <f t="shared" si="23"/>
        <v>546921.7772173625</v>
      </c>
      <c r="M47" s="111">
        <f t="shared" si="23"/>
        <v>573170.2282486303</v>
      </c>
      <c r="N47" s="111">
        <f t="shared" si="23"/>
        <v>601256.201529619</v>
      </c>
      <c r="O47" s="111">
        <f t="shared" si="23"/>
        <v>631248.6041446934</v>
      </c>
      <c r="P47" s="111">
        <f t="shared" si="23"/>
        <v>663218.9271938815</v>
      </c>
      <c r="Q47" s="163">
        <f t="shared" si="23"/>
        <v>697241.3426934625</v>
      </c>
      <c r="R47" s="157">
        <f t="shared" si="23"/>
        <v>733392.8041103263</v>
      </c>
      <c r="S47" s="111">
        <f t="shared" si="23"/>
        <v>760329.1355148559</v>
      </c>
      <c r="T47" s="111">
        <f t="shared" si="23"/>
        <v>777703.0634975317</v>
      </c>
      <c r="U47" s="111">
        <f t="shared" si="23"/>
        <v>787768.8679995539</v>
      </c>
      <c r="V47" s="111">
        <f t="shared" si="23"/>
        <v>799627.4943903979</v>
      </c>
      <c r="W47" s="111">
        <f aca="true" t="shared" si="24" ref="W47:AB47">IF(W53&gt;0,W53,0)</f>
        <v>813346.1734908947</v>
      </c>
      <c r="X47" s="111">
        <f t="shared" si="24"/>
        <v>822577.4980467929</v>
      </c>
      <c r="Y47" s="111">
        <f t="shared" si="24"/>
        <v>809263.128008988</v>
      </c>
      <c r="Z47" s="111">
        <f t="shared" si="24"/>
        <v>781643.1992967576</v>
      </c>
      <c r="AA47" s="111">
        <f t="shared" si="24"/>
        <v>754931.2534598107</v>
      </c>
      <c r="AB47" s="111">
        <f t="shared" si="24"/>
        <v>729161.3398559707</v>
      </c>
      <c r="AC47" s="111">
        <f aca="true" t="shared" si="25" ref="AC47:AY47">IF(AC53&gt;0,AC53,0)</f>
        <v>704368.784693979</v>
      </c>
      <c r="AD47" s="111">
        <f t="shared" si="25"/>
        <v>673467.915893744</v>
      </c>
      <c r="AE47" s="111">
        <f t="shared" si="25"/>
        <v>624869.0818288048</v>
      </c>
      <c r="AF47" s="111">
        <f t="shared" si="25"/>
        <v>576658.608801735</v>
      </c>
      <c r="AG47" s="111">
        <f t="shared" si="25"/>
        <v>528851.0603514547</v>
      </c>
      <c r="AH47" s="111">
        <f t="shared" si="25"/>
        <v>496194.8794829266</v>
      </c>
      <c r="AI47" s="111">
        <f t="shared" si="25"/>
        <v>463972.40914713335</v>
      </c>
      <c r="AJ47" s="111">
        <f t="shared" si="25"/>
        <v>432199.9134890524</v>
      </c>
      <c r="AK47" s="111">
        <f t="shared" si="25"/>
        <v>400894.2665590979</v>
      </c>
      <c r="AL47" s="111">
        <f t="shared" si="25"/>
        <v>370072.9751845747</v>
      </c>
      <c r="AM47" s="111">
        <f t="shared" si="25"/>
        <v>334408.5805789958</v>
      </c>
      <c r="AN47" s="111">
        <f t="shared" si="25"/>
        <v>284897.7831826414</v>
      </c>
      <c r="AO47" s="111">
        <f t="shared" si="25"/>
        <v>227256.02525889117</v>
      </c>
      <c r="AP47" s="111">
        <f t="shared" si="25"/>
        <v>167663.48422914432</v>
      </c>
      <c r="AQ47" s="111">
        <f t="shared" si="25"/>
        <v>102253.1014692054</v>
      </c>
      <c r="AR47" s="111">
        <f t="shared" si="25"/>
        <v>35923.78291419218</v>
      </c>
      <c r="AS47" s="111">
        <f t="shared" si="25"/>
        <v>0</v>
      </c>
      <c r="AT47" s="111">
        <f t="shared" si="25"/>
        <v>0</v>
      </c>
      <c r="AU47" s="111">
        <f t="shared" si="25"/>
        <v>0</v>
      </c>
      <c r="AV47" s="111">
        <f t="shared" si="25"/>
        <v>0</v>
      </c>
      <c r="AW47" s="111">
        <f t="shared" si="25"/>
        <v>0</v>
      </c>
      <c r="AX47" s="111">
        <f t="shared" si="25"/>
        <v>0</v>
      </c>
      <c r="AY47" s="112">
        <f t="shared" si="25"/>
        <v>0</v>
      </c>
    </row>
    <row r="48" spans="1:51" ht="12">
      <c r="A48" s="22">
        <v>2282</v>
      </c>
      <c r="B48" s="22" t="s">
        <v>26</v>
      </c>
      <c r="C48" s="27"/>
      <c r="D48" s="27"/>
      <c r="E48" s="95"/>
      <c r="F48" s="29"/>
      <c r="G48" s="139">
        <f>E48</f>
        <v>0</v>
      </c>
      <c r="H48" s="110"/>
      <c r="I48" s="111"/>
      <c r="J48" s="111"/>
      <c r="K48" s="111"/>
      <c r="L48" s="111"/>
      <c r="M48" s="111"/>
      <c r="N48" s="111"/>
      <c r="O48" s="111"/>
      <c r="P48" s="111"/>
      <c r="Q48" s="163"/>
      <c r="R48" s="157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2"/>
    </row>
    <row r="49" spans="3:51" ht="6" customHeight="1">
      <c r="C49" s="39"/>
      <c r="D49" s="27"/>
      <c r="E49" s="29"/>
      <c r="F49" s="29"/>
      <c r="G49" s="146"/>
      <c r="H49" s="130"/>
      <c r="I49" s="131"/>
      <c r="J49" s="131"/>
      <c r="K49" s="131"/>
      <c r="L49" s="131"/>
      <c r="M49" s="131"/>
      <c r="N49" s="131"/>
      <c r="O49" s="131"/>
      <c r="P49" s="131"/>
      <c r="Q49" s="168"/>
      <c r="R49" s="162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2"/>
    </row>
    <row r="50" spans="1:51" s="35" customFormat="1" ht="12">
      <c r="A50" s="58" t="s">
        <v>38</v>
      </c>
      <c r="B50" s="58"/>
      <c r="C50" s="58"/>
      <c r="D50" s="58"/>
      <c r="E50" s="60">
        <f>SUM(E45:E48)</f>
        <v>754000</v>
      </c>
      <c r="F50" s="58"/>
      <c r="G50" s="36">
        <f>SUM(G45:G48)</f>
        <v>754000</v>
      </c>
      <c r="H50" s="127">
        <f aca="true" t="shared" si="26" ref="H50:AB50">SUM(H45:H48)</f>
        <v>731247.8577053744</v>
      </c>
      <c r="I50" s="128">
        <f t="shared" si="26"/>
        <v>708495.7154107487</v>
      </c>
      <c r="J50" s="128">
        <f t="shared" si="26"/>
        <v>685743.5731161231</v>
      </c>
      <c r="K50" s="128">
        <f t="shared" si="26"/>
        <v>662991.4308214975</v>
      </c>
      <c r="L50" s="128">
        <f t="shared" si="26"/>
        <v>640239.2885268718</v>
      </c>
      <c r="M50" s="128">
        <f t="shared" si="26"/>
        <v>617487.1462322462</v>
      </c>
      <c r="N50" s="128">
        <f t="shared" si="26"/>
        <v>601256.201529619</v>
      </c>
      <c r="O50" s="128">
        <f t="shared" si="26"/>
        <v>631248.6041446934</v>
      </c>
      <c r="P50" s="128">
        <f t="shared" si="26"/>
        <v>663218.9271938815</v>
      </c>
      <c r="Q50" s="167">
        <f t="shared" si="26"/>
        <v>697241.3426934625</v>
      </c>
      <c r="R50" s="161">
        <f t="shared" si="26"/>
        <v>733392.8041103263</v>
      </c>
      <c r="S50" s="128">
        <f t="shared" si="26"/>
        <v>760329.1355148559</v>
      </c>
      <c r="T50" s="128">
        <f t="shared" si="26"/>
        <v>902807.4981130825</v>
      </c>
      <c r="U50" s="128">
        <f t="shared" si="26"/>
        <v>865064.7189131879</v>
      </c>
      <c r="V50" s="128">
        <f t="shared" si="26"/>
        <v>827321.9397132932</v>
      </c>
      <c r="W50" s="128">
        <f t="shared" si="26"/>
        <v>813346.1734908947</v>
      </c>
      <c r="X50" s="128">
        <f t="shared" si="26"/>
        <v>1195419.2220826405</v>
      </c>
      <c r="Y50" s="128">
        <f t="shared" si="26"/>
        <v>1563586.41669618</v>
      </c>
      <c r="Z50" s="128">
        <f t="shared" si="26"/>
        <v>1511753.6113097193</v>
      </c>
      <c r="AA50" s="128">
        <f t="shared" si="26"/>
        <v>1459920.8059232584</v>
      </c>
      <c r="AB50" s="128">
        <f t="shared" si="26"/>
        <v>1408088.0005367976</v>
      </c>
      <c r="AC50" s="128">
        <f aca="true" t="shared" si="27" ref="AC50:AY50">SUM(AC45:AC48)</f>
        <v>1356255.195150337</v>
      </c>
      <c r="AD50" s="128">
        <f t="shared" si="27"/>
        <v>1797300.0667422155</v>
      </c>
      <c r="AE50" s="128">
        <f t="shared" si="27"/>
        <v>1738344.938334094</v>
      </c>
      <c r="AF50" s="128">
        <f t="shared" si="27"/>
        <v>1679389.8099259725</v>
      </c>
      <c r="AG50" s="128">
        <f t="shared" si="27"/>
        <v>1620434.6815178513</v>
      </c>
      <c r="AH50" s="128">
        <f t="shared" si="27"/>
        <v>1576212.8864430632</v>
      </c>
      <c r="AI50" s="128">
        <f t="shared" si="27"/>
        <v>1531991.091368275</v>
      </c>
      <c r="AJ50" s="128">
        <f t="shared" si="27"/>
        <v>1487769.2962934868</v>
      </c>
      <c r="AK50" s="128">
        <f t="shared" si="27"/>
        <v>1443547.5012186987</v>
      </c>
      <c r="AL50" s="128">
        <f t="shared" si="27"/>
        <v>1399325.7061439105</v>
      </c>
      <c r="AM50" s="128">
        <f t="shared" si="27"/>
        <v>1649758.2889493068</v>
      </c>
      <c r="AN50" s="128">
        <f t="shared" si="27"/>
        <v>1817073.1056168391</v>
      </c>
      <c r="AO50" s="128">
        <f t="shared" si="27"/>
        <v>1764387.9222843712</v>
      </c>
      <c r="AP50" s="128">
        <f t="shared" si="27"/>
        <v>1859937.82739308</v>
      </c>
      <c r="AQ50" s="128">
        <f t="shared" si="27"/>
        <v>1805487.7325017888</v>
      </c>
      <c r="AR50" s="128">
        <f t="shared" si="27"/>
        <v>1790529.7126104974</v>
      </c>
      <c r="AS50" s="128">
        <f t="shared" si="27"/>
        <v>3067903.6520599164</v>
      </c>
      <c r="AT50" s="128">
        <f t="shared" si="27"/>
        <v>3530450.0390121634</v>
      </c>
      <c r="AU50" s="128">
        <f t="shared" si="27"/>
        <v>4510341.915475119</v>
      </c>
      <c r="AV50" s="128">
        <f t="shared" si="27"/>
        <v>4856979.737305436</v>
      </c>
      <c r="AW50" s="128">
        <f t="shared" si="27"/>
        <v>4986616.47745439</v>
      </c>
      <c r="AX50" s="128">
        <f t="shared" si="27"/>
        <v>5166114.59535893</v>
      </c>
      <c r="AY50" s="129">
        <f t="shared" si="27"/>
        <v>5757343.89268489</v>
      </c>
    </row>
    <row r="51" spans="5:28" ht="12">
      <c r="E51" s="27"/>
      <c r="F51" s="27"/>
      <c r="G51" s="63">
        <f>IF(G42-G50=0,"","Achtung Soll-Haben-Differenz!")</f>
      </c>
      <c r="H51" s="27"/>
      <c r="I51" s="27"/>
      <c r="J51" s="27"/>
      <c r="K51" s="27"/>
      <c r="L51" s="27"/>
      <c r="M51" s="27"/>
      <c r="N51" s="27"/>
      <c r="O51" s="27"/>
      <c r="P51" s="27"/>
      <c r="Q51" s="79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5:28" ht="12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2:51" ht="12" outlineLevel="1">
      <c r="B53" s="22" t="s">
        <v>24</v>
      </c>
      <c r="E53" s="27"/>
      <c r="F53" s="27"/>
      <c r="G53" s="38">
        <f>E47</f>
        <v>441000</v>
      </c>
      <c r="H53" s="38">
        <f>G47+G48+H25</f>
        <v>459010.35770537436</v>
      </c>
      <c r="I53" s="38">
        <f aca="true" t="shared" si="28" ref="I53:AY53">H53+I25</f>
        <v>478549.30916074873</v>
      </c>
      <c r="J53" s="38">
        <f t="shared" si="28"/>
        <v>499674.1766317481</v>
      </c>
      <c r="K53" s="38">
        <f t="shared" si="28"/>
        <v>522444.4319689584</v>
      </c>
      <c r="L53" s="38">
        <f t="shared" si="28"/>
        <v>546921.7772173625</v>
      </c>
      <c r="M53" s="38">
        <f t="shared" si="28"/>
        <v>573170.2282486303</v>
      </c>
      <c r="N53" s="38">
        <f t="shared" si="28"/>
        <v>601256.201529619</v>
      </c>
      <c r="O53" s="38">
        <f t="shared" si="28"/>
        <v>631248.6041446934</v>
      </c>
      <c r="P53" s="38">
        <f t="shared" si="28"/>
        <v>663218.9271938815</v>
      </c>
      <c r="Q53" s="38">
        <f t="shared" si="28"/>
        <v>697241.3426934625</v>
      </c>
      <c r="R53" s="38">
        <f t="shared" si="28"/>
        <v>733392.8041103263</v>
      </c>
      <c r="S53" s="38">
        <f t="shared" si="28"/>
        <v>760329.1355148559</v>
      </c>
      <c r="T53" s="38">
        <f t="shared" si="28"/>
        <v>777703.0634975317</v>
      </c>
      <c r="U53" s="38">
        <f t="shared" si="28"/>
        <v>787768.8679995539</v>
      </c>
      <c r="V53" s="38">
        <f t="shared" si="28"/>
        <v>799627.4943903979</v>
      </c>
      <c r="W53" s="38">
        <f t="shared" si="28"/>
        <v>813346.1734908947</v>
      </c>
      <c r="X53" s="38">
        <f t="shared" si="28"/>
        <v>822577.4980467929</v>
      </c>
      <c r="Y53" s="38">
        <f t="shared" si="28"/>
        <v>809263.128008988</v>
      </c>
      <c r="Z53" s="38">
        <f t="shared" si="28"/>
        <v>781643.1992967576</v>
      </c>
      <c r="AA53" s="38">
        <f t="shared" si="28"/>
        <v>754931.2534598107</v>
      </c>
      <c r="AB53" s="38">
        <f t="shared" si="28"/>
        <v>729161.3398559707</v>
      </c>
      <c r="AC53" s="38">
        <f t="shared" si="28"/>
        <v>704368.784693979</v>
      </c>
      <c r="AD53" s="38">
        <f t="shared" si="28"/>
        <v>673467.915893744</v>
      </c>
      <c r="AE53" s="38">
        <f t="shared" si="28"/>
        <v>624869.0818288048</v>
      </c>
      <c r="AF53" s="38">
        <f t="shared" si="28"/>
        <v>576658.608801735</v>
      </c>
      <c r="AG53" s="38">
        <f t="shared" si="28"/>
        <v>528851.0603514547</v>
      </c>
      <c r="AH53" s="38">
        <f t="shared" si="28"/>
        <v>496194.8794829266</v>
      </c>
      <c r="AI53" s="38">
        <f t="shared" si="28"/>
        <v>463972.40914713335</v>
      </c>
      <c r="AJ53" s="38">
        <f t="shared" si="28"/>
        <v>432199.9134890524</v>
      </c>
      <c r="AK53" s="38">
        <f t="shared" si="28"/>
        <v>400894.2665590979</v>
      </c>
      <c r="AL53" s="38">
        <f t="shared" si="28"/>
        <v>370072.9751845747</v>
      </c>
      <c r="AM53" s="38">
        <f t="shared" si="28"/>
        <v>334408.5805789958</v>
      </c>
      <c r="AN53" s="38">
        <f t="shared" si="28"/>
        <v>284897.7831826414</v>
      </c>
      <c r="AO53" s="38">
        <f t="shared" si="28"/>
        <v>227256.02525889117</v>
      </c>
      <c r="AP53" s="38">
        <f t="shared" si="28"/>
        <v>167663.48422914432</v>
      </c>
      <c r="AQ53" s="38">
        <f t="shared" si="28"/>
        <v>102253.1014692054</v>
      </c>
      <c r="AR53" s="38">
        <f t="shared" si="28"/>
        <v>35923.78291419218</v>
      </c>
      <c r="AS53" s="38">
        <f t="shared" si="28"/>
        <v>-46438.00629248563</v>
      </c>
      <c r="AT53" s="38">
        <f t="shared" si="28"/>
        <v>-183676.90370657732</v>
      </c>
      <c r="AU53" s="38">
        <f t="shared" si="28"/>
        <v>-350860.17350887513</v>
      </c>
      <c r="AV53" s="38">
        <f t="shared" si="28"/>
        <v>-557997.7391003959</v>
      </c>
      <c r="AW53" s="38">
        <f t="shared" si="28"/>
        <v>-778134.2230105535</v>
      </c>
      <c r="AX53" s="38">
        <f t="shared" si="28"/>
        <v>-1003757.4968980531</v>
      </c>
      <c r="AY53" s="38">
        <f t="shared" si="28"/>
        <v>-1242355.2538688136</v>
      </c>
    </row>
    <row r="54" spans="2:51" ht="12" outlineLevel="1">
      <c r="B54" s="22" t="s">
        <v>37</v>
      </c>
      <c r="E54" s="38">
        <f>IF((E32-E45)&gt;0,E32-E45,E32-E45)</f>
        <v>-313000</v>
      </c>
      <c r="F54" s="27"/>
      <c r="G54" s="38">
        <f>IF((G32-G45)&gt;0,G32-G45,G32-G45)</f>
        <v>-313000</v>
      </c>
      <c r="H54" s="38">
        <f aca="true" t="shared" si="29" ref="H54:AY54">G54+H26-H56</f>
        <v>-272237.5</v>
      </c>
      <c r="I54" s="38">
        <f t="shared" si="29"/>
        <v>-229946.40625</v>
      </c>
      <c r="J54" s="38">
        <f t="shared" si="29"/>
        <v>-186069.396484375</v>
      </c>
      <c r="K54" s="38">
        <f t="shared" si="29"/>
        <v>-140546.99885253905</v>
      </c>
      <c r="L54" s="38">
        <f>K54+L26-L56</f>
        <v>-93317.51130950927</v>
      </c>
      <c r="M54" s="38">
        <f t="shared" si="29"/>
        <v>-44316.917983615866</v>
      </c>
      <c r="N54" s="38">
        <f t="shared" si="29"/>
        <v>6521.197591998549</v>
      </c>
      <c r="O54" s="38">
        <f t="shared" si="29"/>
        <v>59265.742501698485</v>
      </c>
      <c r="P54" s="38">
        <f t="shared" si="29"/>
        <v>113988.20784551218</v>
      </c>
      <c r="Q54" s="38">
        <f t="shared" si="29"/>
        <v>170762.7656397189</v>
      </c>
      <c r="R54" s="38">
        <f t="shared" si="29"/>
        <v>229666.36935120838</v>
      </c>
      <c r="S54" s="38">
        <f t="shared" si="29"/>
        <v>69778.85820187873</v>
      </c>
      <c r="T54" s="38">
        <f t="shared" si="29"/>
        <v>-125104.43461555082</v>
      </c>
      <c r="U54" s="38">
        <f t="shared" si="29"/>
        <v>-77295.85091363399</v>
      </c>
      <c r="V54" s="38">
        <f t="shared" si="29"/>
        <v>-27694.445322895263</v>
      </c>
      <c r="W54" s="38">
        <f t="shared" si="29"/>
        <v>23767.012977496168</v>
      </c>
      <c r="X54" s="38">
        <f t="shared" si="29"/>
        <v>-372841.7240358477</v>
      </c>
      <c r="Y54" s="38">
        <f t="shared" si="29"/>
        <v>-754323.2886871919</v>
      </c>
      <c r="Z54" s="38">
        <f t="shared" si="29"/>
        <v>-730110.4120129616</v>
      </c>
      <c r="AA54" s="38">
        <f t="shared" si="29"/>
        <v>-704989.5524634477</v>
      </c>
      <c r="AB54" s="38">
        <f t="shared" si="29"/>
        <v>-678926.660680827</v>
      </c>
      <c r="AC54" s="38">
        <f t="shared" si="29"/>
        <v>-651886.410456358</v>
      </c>
      <c r="AD54" s="38">
        <f t="shared" si="29"/>
        <v>-1123832.1508484716</v>
      </c>
      <c r="AE54" s="38">
        <f t="shared" si="29"/>
        <v>-1113475.8565052892</v>
      </c>
      <c r="AF54" s="38">
        <f t="shared" si="29"/>
        <v>-1102731.2011242376</v>
      </c>
      <c r="AG54" s="38">
        <f t="shared" si="29"/>
        <v>-1091583.6211663967</v>
      </c>
      <c r="AH54" s="38">
        <f t="shared" si="29"/>
        <v>-1080018.0069601366</v>
      </c>
      <c r="AI54" s="38">
        <f t="shared" si="29"/>
        <v>-1068018.6822211416</v>
      </c>
      <c r="AJ54" s="38">
        <f t="shared" si="29"/>
        <v>-1055569.3828044345</v>
      </c>
      <c r="AK54" s="38">
        <f t="shared" si="29"/>
        <v>-1042653.2346596008</v>
      </c>
      <c r="AL54" s="38">
        <f t="shared" si="29"/>
        <v>-1029252.7309593358</v>
      </c>
      <c r="AM54" s="38">
        <f t="shared" si="29"/>
        <v>-1315349.708370311</v>
      </c>
      <c r="AN54" s="38">
        <f t="shared" si="29"/>
        <v>-1532175.3224341976</v>
      </c>
      <c r="AO54" s="38">
        <f t="shared" si="29"/>
        <v>-1537131.8970254802</v>
      </c>
      <c r="AP54" s="38">
        <f t="shared" si="29"/>
        <v>-1692274.3431639357</v>
      </c>
      <c r="AQ54" s="38">
        <f t="shared" si="29"/>
        <v>-1703234.6310325833</v>
      </c>
      <c r="AR54" s="38">
        <f t="shared" si="29"/>
        <v>-1754605.9296963052</v>
      </c>
      <c r="AS54" s="38">
        <f t="shared" si="29"/>
        <v>-3067903.6520599164</v>
      </c>
      <c r="AT54" s="38">
        <f t="shared" si="29"/>
        <v>-3530450.0390121634</v>
      </c>
      <c r="AU54" s="38">
        <f t="shared" si="29"/>
        <v>-4510341.915475119</v>
      </c>
      <c r="AV54" s="38">
        <f t="shared" si="29"/>
        <v>-4856979.737305436</v>
      </c>
      <c r="AW54" s="38">
        <f t="shared" si="29"/>
        <v>-4986616.47745439</v>
      </c>
      <c r="AX54" s="38">
        <f t="shared" si="29"/>
        <v>-5166114.59535893</v>
      </c>
      <c r="AY54" s="38">
        <f t="shared" si="29"/>
        <v>-5757343.89268489</v>
      </c>
    </row>
    <row r="55" spans="5:28" ht="12" outlineLevel="1">
      <c r="E55" s="27"/>
      <c r="F55" s="27"/>
      <c r="G55" s="27"/>
      <c r="H55" s="38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2:51" ht="12" outlineLevel="1">
      <c r="B56" s="27" t="s">
        <v>9</v>
      </c>
      <c r="D56" s="27"/>
      <c r="E56" s="27"/>
      <c r="F56" s="27"/>
      <c r="G56" s="29"/>
      <c r="H56" s="29">
        <f>Anlagenbuch!DF40*1000</f>
        <v>0</v>
      </c>
      <c r="I56" s="29">
        <f>Anlagenbuch!DG40*1000</f>
        <v>0</v>
      </c>
      <c r="J56" s="29">
        <f>Anlagenbuch!DH40*1000</f>
        <v>0</v>
      </c>
      <c r="K56" s="29">
        <f>Anlagenbuch!DI40*1000</f>
        <v>0</v>
      </c>
      <c r="L56" s="29">
        <f>Anlagenbuch!DJ40*1000</f>
        <v>0</v>
      </c>
      <c r="M56" s="29">
        <f>Anlagenbuch!DK40*1000</f>
        <v>0</v>
      </c>
      <c r="N56" s="29">
        <f>Anlagenbuch!DL40*1000</f>
        <v>0</v>
      </c>
      <c r="O56" s="29">
        <f>Anlagenbuch!DM40*1000</f>
        <v>0</v>
      </c>
      <c r="P56" s="29">
        <f>Anlagenbuch!DN40*1000</f>
        <v>0</v>
      </c>
      <c r="Q56" s="29">
        <f>Anlagenbuch!DO40*1000</f>
        <v>0</v>
      </c>
      <c r="R56" s="29">
        <f>Anlagenbuch!DP40*1000</f>
        <v>0</v>
      </c>
      <c r="S56" s="29">
        <f>Anlagenbuch!DQ40*1000</f>
        <v>221000</v>
      </c>
      <c r="T56" s="29">
        <f>Anlagenbuch!DR40*1000</f>
        <v>250000</v>
      </c>
      <c r="U56" s="29">
        <f>Anlagenbuch!DS40*1000</f>
        <v>0</v>
      </c>
      <c r="V56" s="29">
        <f>Anlagenbuch!DT40*1000</f>
        <v>0</v>
      </c>
      <c r="W56" s="29">
        <f>Anlagenbuch!DU40*1000</f>
        <v>0</v>
      </c>
      <c r="X56" s="29">
        <f>Anlagenbuch!DV40*1000</f>
        <v>450000</v>
      </c>
      <c r="Y56" s="29">
        <f>Anlagenbuch!DW40*1000</f>
        <v>420000</v>
      </c>
      <c r="Z56" s="29">
        <f>Anlagenbuch!DX40*1000</f>
        <v>0</v>
      </c>
      <c r="AA56" s="29">
        <f>Anlagenbuch!DY40*1000</f>
        <v>0</v>
      </c>
      <c r="AB56" s="29">
        <f>Anlagenbuch!DZ40*1000</f>
        <v>0</v>
      </c>
      <c r="AC56" s="29">
        <f>Anlagenbuch!EA40*1000</f>
        <v>0</v>
      </c>
      <c r="AD56" s="29">
        <f>Anlagenbuch!EB40*1000</f>
        <v>500000</v>
      </c>
      <c r="AE56" s="29">
        <f>Anlagenbuch!EC40*1000</f>
        <v>0</v>
      </c>
      <c r="AF56" s="29">
        <f>Anlagenbuch!ED40*1000</f>
        <v>0</v>
      </c>
      <c r="AG56" s="29">
        <f>Anlagenbuch!EE40*1000</f>
        <v>0</v>
      </c>
      <c r="AH56" s="29">
        <f>Anlagenbuch!EF40*1000</f>
        <v>0</v>
      </c>
      <c r="AI56" s="29">
        <f>Anlagenbuch!EG40*1000</f>
        <v>0</v>
      </c>
      <c r="AJ56" s="29">
        <f>Anlagenbuch!EH40*1000</f>
        <v>0</v>
      </c>
      <c r="AK56" s="29">
        <f>Anlagenbuch!EI40*1000</f>
        <v>0</v>
      </c>
      <c r="AL56" s="29">
        <f>Anlagenbuch!EJ40*1000</f>
        <v>0</v>
      </c>
      <c r="AM56" s="29">
        <f>Anlagenbuch!EK40*1000</f>
        <v>300000</v>
      </c>
      <c r="AN56" s="29">
        <f>Anlagenbuch!EL40*1000</f>
        <v>220000</v>
      </c>
      <c r="AO56" s="29">
        <f>Anlagenbuch!EM40*1000</f>
        <v>0</v>
      </c>
      <c r="AP56" s="29">
        <f>Anlagenbuch!EN40*1000</f>
        <v>150000</v>
      </c>
      <c r="AQ56" s="29">
        <f>Anlagenbuch!EO40*1000</f>
        <v>0</v>
      </c>
      <c r="AR56" s="29">
        <f>Anlagenbuch!EP40*1000</f>
        <v>40000</v>
      </c>
      <c r="AS56" s="29">
        <f>Anlagenbuch!EQ40*1000</f>
        <v>1300000</v>
      </c>
      <c r="AT56" s="29">
        <f>Anlagenbuch!ER40*1000</f>
        <v>400000</v>
      </c>
      <c r="AU56" s="29">
        <f>Anlagenbuch!ES40*1000</f>
        <v>900000</v>
      </c>
      <c r="AV56" s="29">
        <f>Anlagenbuch!ET40*1000</f>
        <v>230000</v>
      </c>
      <c r="AW56" s="29">
        <f>Anlagenbuch!EU40*1000</f>
        <v>0</v>
      </c>
      <c r="AX56" s="29">
        <f>Anlagenbuch!EV40*1000</f>
        <v>45000</v>
      </c>
      <c r="AY56" s="29">
        <f>Anlagenbuch!EW40*1000</f>
        <v>450000</v>
      </c>
    </row>
    <row r="57" spans="2:51" ht="12" outlineLevel="1">
      <c r="B57" s="27" t="s">
        <v>98</v>
      </c>
      <c r="D57" s="29">
        <f>IF(SUM(H57:AY57)&lt;&gt;0,"Achtung Aktiven &lt;&gt; Passiven","")</f>
      </c>
      <c r="E57" s="27"/>
      <c r="F57" s="27"/>
      <c r="G57" s="27"/>
      <c r="H57" s="29">
        <f>H50-H42</f>
        <v>0</v>
      </c>
      <c r="I57" s="29">
        <f>I50-I42</f>
        <v>0</v>
      </c>
      <c r="J57" s="29">
        <f aca="true" t="shared" si="30" ref="J57:AY57">J50-J42</f>
        <v>0</v>
      </c>
      <c r="K57" s="29">
        <f t="shared" si="30"/>
        <v>0</v>
      </c>
      <c r="L57" s="29">
        <f t="shared" si="30"/>
        <v>0</v>
      </c>
      <c r="M57" s="29">
        <f t="shared" si="30"/>
        <v>0</v>
      </c>
      <c r="N57" s="29">
        <f t="shared" si="30"/>
        <v>0</v>
      </c>
      <c r="O57" s="29">
        <f t="shared" si="30"/>
        <v>0</v>
      </c>
      <c r="P57" s="29">
        <f t="shared" si="30"/>
        <v>0</v>
      </c>
      <c r="Q57" s="29">
        <f t="shared" si="30"/>
        <v>0</v>
      </c>
      <c r="R57" s="29">
        <f t="shared" si="30"/>
        <v>0</v>
      </c>
      <c r="S57" s="29">
        <f t="shared" si="30"/>
        <v>0</v>
      </c>
      <c r="T57" s="29">
        <f t="shared" si="30"/>
        <v>0</v>
      </c>
      <c r="U57" s="29">
        <f t="shared" si="30"/>
        <v>0</v>
      </c>
      <c r="V57" s="29">
        <f t="shared" si="30"/>
        <v>0</v>
      </c>
      <c r="W57" s="29">
        <f t="shared" si="30"/>
        <v>0</v>
      </c>
      <c r="X57" s="29">
        <f t="shared" si="30"/>
        <v>0</v>
      </c>
      <c r="Y57" s="29">
        <f t="shared" si="30"/>
        <v>0</v>
      </c>
      <c r="Z57" s="29">
        <f t="shared" si="30"/>
        <v>0</v>
      </c>
      <c r="AA57" s="29">
        <f t="shared" si="30"/>
        <v>0</v>
      </c>
      <c r="AB57" s="29">
        <f t="shared" si="30"/>
        <v>0</v>
      </c>
      <c r="AC57" s="29">
        <f t="shared" si="30"/>
        <v>0</v>
      </c>
      <c r="AD57" s="29">
        <f t="shared" si="30"/>
        <v>0</v>
      </c>
      <c r="AE57" s="29">
        <f t="shared" si="30"/>
        <v>0</v>
      </c>
      <c r="AF57" s="29">
        <f t="shared" si="30"/>
        <v>0</v>
      </c>
      <c r="AG57" s="29">
        <f t="shared" si="30"/>
        <v>0</v>
      </c>
      <c r="AH57" s="29">
        <f t="shared" si="30"/>
        <v>0</v>
      </c>
      <c r="AI57" s="29">
        <f t="shared" si="30"/>
        <v>0</v>
      </c>
      <c r="AJ57" s="29">
        <f t="shared" si="30"/>
        <v>0</v>
      </c>
      <c r="AK57" s="29">
        <f t="shared" si="30"/>
        <v>0</v>
      </c>
      <c r="AL57" s="29">
        <f t="shared" si="30"/>
        <v>0</v>
      </c>
      <c r="AM57" s="29">
        <f t="shared" si="30"/>
        <v>0</v>
      </c>
      <c r="AN57" s="29">
        <f t="shared" si="30"/>
        <v>0</v>
      </c>
      <c r="AO57" s="29">
        <f t="shared" si="30"/>
        <v>0</v>
      </c>
      <c r="AP57" s="29">
        <f t="shared" si="30"/>
        <v>0</v>
      </c>
      <c r="AQ57" s="29">
        <f t="shared" si="30"/>
        <v>0</v>
      </c>
      <c r="AR57" s="29">
        <f t="shared" si="30"/>
        <v>0</v>
      </c>
      <c r="AS57" s="29">
        <f t="shared" si="30"/>
        <v>0</v>
      </c>
      <c r="AT57" s="29">
        <f t="shared" si="30"/>
        <v>0</v>
      </c>
      <c r="AU57" s="29">
        <f t="shared" si="30"/>
        <v>0</v>
      </c>
      <c r="AV57" s="29">
        <f t="shared" si="30"/>
        <v>0</v>
      </c>
      <c r="AW57" s="29">
        <f t="shared" si="30"/>
        <v>0</v>
      </c>
      <c r="AX57" s="29">
        <f t="shared" si="30"/>
        <v>0</v>
      </c>
      <c r="AY57" s="29">
        <f t="shared" si="30"/>
        <v>0</v>
      </c>
    </row>
    <row r="58" spans="17:51" ht="12">
      <c r="Q58" s="27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</row>
    <row r="60" spans="29:51" ht="12"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</row>
    <row r="61" spans="29:51" ht="12"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</row>
    <row r="62" spans="29:51" ht="12"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</row>
    <row r="63" spans="29:51" ht="12"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</row>
    <row r="64" spans="29:51" ht="12"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</row>
    <row r="65" spans="29:51" ht="12"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</row>
    <row r="66" spans="29:51" ht="12"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</row>
    <row r="67" spans="29:51" ht="12"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</row>
    <row r="68" spans="29:51" ht="12"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</row>
    <row r="69" spans="29:51" ht="12"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</row>
    <row r="70" spans="29:51" ht="12"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</row>
    <row r="71" spans="29:51" ht="12"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</row>
    <row r="72" spans="29:51" ht="12"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</row>
    <row r="73" spans="29:51" ht="12"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</row>
    <row r="74" spans="29:51" ht="12"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</row>
    <row r="75" spans="29:51" ht="12"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</row>
    <row r="76" spans="29:51" ht="12"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</row>
    <row r="77" spans="29:51" ht="12"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</row>
    <row r="78" spans="29:51" ht="12"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</row>
    <row r="79" spans="29:51" ht="12"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</row>
    <row r="80" spans="29:51" ht="12"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</row>
    <row r="81" spans="29:51" ht="12"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</row>
    <row r="82" spans="29:51" ht="12"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</row>
    <row r="83" spans="29:51" ht="12"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</row>
    <row r="84" spans="29:51" ht="12"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</row>
    <row r="85" spans="29:51" ht="12"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</row>
    <row r="86" spans="29:51" ht="12"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</row>
    <row r="87" spans="29:51" ht="12"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</row>
    <row r="88" spans="29:51" ht="12"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</row>
    <row r="89" spans="29:51" ht="12"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</row>
    <row r="90" spans="29:51" ht="12"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</row>
    <row r="91" spans="29:51" ht="12"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</row>
    <row r="92" spans="29:51" ht="12"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</row>
    <row r="93" spans="29:51" ht="12"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</row>
    <row r="94" spans="29:51" ht="12"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</row>
    <row r="95" spans="29:51" ht="12"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</row>
    <row r="96" spans="29:51" ht="12"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</row>
    <row r="97" spans="29:51" ht="12"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</row>
    <row r="98" spans="29:51" ht="12"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</row>
    <row r="99" spans="29:51" ht="12"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</row>
    <row r="100" spans="29:51" ht="12"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</row>
    <row r="101" spans="29:51" ht="12"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</row>
    <row r="102" spans="29:51" ht="12"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</row>
    <row r="103" spans="29:51" ht="12"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</row>
    <row r="104" spans="29:51" ht="12"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</row>
    <row r="105" spans="29:51" ht="12"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</row>
    <row r="106" spans="29:51" ht="12"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</row>
    <row r="107" spans="29:51" ht="12"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</row>
    <row r="108" spans="29:51" ht="12"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</row>
    <row r="109" spans="29:51" ht="12"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</row>
    <row r="110" spans="29:51" ht="12"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</row>
    <row r="111" spans="29:51" ht="12"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</row>
    <row r="112" spans="29:51" ht="12"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</row>
    <row r="113" spans="29:51" ht="12"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</row>
    <row r="114" spans="29:51" ht="12"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</row>
    <row r="115" spans="29:51" ht="12"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</row>
    <row r="116" spans="29:51" ht="12"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</row>
    <row r="117" spans="29:51" ht="12"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</row>
    <row r="118" spans="29:51" ht="12"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</row>
    <row r="119" spans="29:51" ht="12"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</row>
    <row r="120" spans="29:51" ht="12"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</row>
    <row r="121" spans="29:51" ht="12"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</row>
    <row r="122" spans="29:51" ht="12"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</row>
    <row r="123" spans="29:51" ht="12"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</row>
    <row r="124" spans="29:51" ht="12"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</row>
  </sheetData>
  <sheetProtection password="C979" sheet="1" objects="1" scenarios="1" selectLockedCells="1"/>
  <mergeCells count="2">
    <mergeCell ref="D4:E4"/>
    <mergeCell ref="C3:F3"/>
  </mergeCells>
  <conditionalFormatting sqref="H25:AY25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conditionalFormatting sqref="H26:AY26">
    <cfRule type="cellIs" priority="3" dxfId="2" operator="greaterThan" stopIfTrue="1">
      <formula>0</formula>
    </cfRule>
    <cfRule type="cellIs" priority="4" dxfId="3" operator="lessThan" stopIfTrue="1">
      <formula>0</formula>
    </cfRule>
  </conditionalFormatting>
  <printOptions/>
  <pageMargins left="0.75" right="0.75" top="0.59" bottom="0.6" header="0.4921259845" footer="0.4921259845"/>
  <pageSetup horizontalDpi="600" verticalDpi="600" orientation="landscape" paperSize="9" scale="65" r:id="rId3"/>
  <ignoredErrors>
    <ignoredError sqref="G17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W51"/>
  <sheetViews>
    <sheetView showGridLines="0" showZeros="0" zoomScale="75" zoomScaleNormal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1" sqref="A11"/>
    </sheetView>
  </sheetViews>
  <sheetFormatPr defaultColWidth="11.00390625" defaultRowHeight="12.75" outlineLevelRow="1"/>
  <cols>
    <col min="1" max="1" width="4.125" style="0" customWidth="1"/>
    <col min="2" max="2" width="29.25390625" style="0" customWidth="1"/>
    <col min="3" max="3" width="15.875" style="0" customWidth="1"/>
    <col min="4" max="4" width="10.375" style="0" customWidth="1"/>
    <col min="5" max="6" width="14.625" style="0" customWidth="1"/>
    <col min="7" max="7" width="12.25390625" style="0" customWidth="1"/>
    <col min="8" max="8" width="9.75390625" style="0" customWidth="1"/>
    <col min="9" max="9" width="10.125" style="0" customWidth="1"/>
    <col min="10" max="10" width="9.625" style="0" customWidth="1"/>
    <col min="11" max="11" width="10.25390625" style="0" customWidth="1"/>
    <col min="12" max="13" width="10.75390625" style="0" customWidth="1"/>
    <col min="14" max="14" width="9.25390625" style="0" customWidth="1"/>
    <col min="15" max="15" width="10.375" style="0" customWidth="1"/>
    <col min="16" max="16" width="8.875" style="0" customWidth="1"/>
    <col min="17" max="17" width="8.25390625" style="0" customWidth="1"/>
    <col min="18" max="18" width="7.375" style="0" customWidth="1"/>
    <col min="19" max="20" width="7.625" style="0" customWidth="1"/>
    <col min="21" max="21" width="7.125" style="0" customWidth="1"/>
    <col min="22" max="36" width="6.25390625" style="0" customWidth="1"/>
    <col min="37" max="63" width="7.125" style="0" customWidth="1"/>
    <col min="65" max="98" width="7.125" style="0" customWidth="1"/>
    <col min="99" max="108" width="5.375" style="0" customWidth="1"/>
    <col min="110" max="153" width="6.375" style="0" customWidth="1"/>
  </cols>
  <sheetData>
    <row r="1" spans="1:11" ht="20.25">
      <c r="A1" s="40" t="s">
        <v>52</v>
      </c>
      <c r="B1" s="40"/>
      <c r="C1" s="65" t="str">
        <f>Finanzplan!C1</f>
        <v>Gemeinde Musterdorf</v>
      </c>
      <c r="F1" s="65" t="str">
        <f>Finanzplan!F1</f>
        <v>Szenario:</v>
      </c>
      <c r="G1" s="65">
        <f>Finanzplan!G1</f>
        <v>1</v>
      </c>
      <c r="H1" s="65"/>
      <c r="I1" s="65"/>
      <c r="J1" s="65"/>
      <c r="K1" s="65"/>
    </row>
    <row r="2" ht="12.75">
      <c r="C2" t="str">
        <f>Finanzplan!C2</f>
        <v>Abwasserentsorgung</v>
      </c>
    </row>
    <row r="3" spans="3:6" ht="12.75">
      <c r="C3" s="8" t="s">
        <v>162</v>
      </c>
      <c r="F3" s="265">
        <f>Finanzplan!G3</f>
        <v>2007</v>
      </c>
    </row>
    <row r="4" spans="3:6" ht="12.75">
      <c r="C4" t="s">
        <v>153</v>
      </c>
      <c r="F4" s="84">
        <f>Finanzplan!F4</f>
        <v>2008</v>
      </c>
    </row>
    <row r="5" spans="3:6" ht="12.75" hidden="1">
      <c r="C5" s="54"/>
      <c r="D5" s="54"/>
      <c r="F5" s="266">
        <f>Finanzplan!G4</f>
        <v>2007</v>
      </c>
    </row>
    <row r="6" spans="1:4" ht="25.5" customHeight="1">
      <c r="A6" s="42" t="s">
        <v>53</v>
      </c>
      <c r="D6" s="41"/>
    </row>
    <row r="7" spans="18:153" ht="12.75">
      <c r="R7" s="43" t="s">
        <v>34</v>
      </c>
      <c r="BM7" s="43" t="s">
        <v>138</v>
      </c>
      <c r="DF7" s="49" t="s">
        <v>27</v>
      </c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</row>
    <row r="8" spans="1:153" ht="99" customHeight="1">
      <c r="A8" s="203" t="s">
        <v>64</v>
      </c>
      <c r="B8" s="200" t="s">
        <v>5</v>
      </c>
      <c r="C8" s="201" t="s">
        <v>165</v>
      </c>
      <c r="D8" s="202" t="s">
        <v>157</v>
      </c>
      <c r="E8" s="202" t="s">
        <v>142</v>
      </c>
      <c r="F8" s="202" t="s">
        <v>163</v>
      </c>
      <c r="G8" s="202" t="s">
        <v>143</v>
      </c>
      <c r="H8" s="202" t="s">
        <v>156</v>
      </c>
      <c r="I8" s="202" t="s">
        <v>166</v>
      </c>
      <c r="J8" s="202" t="s">
        <v>155</v>
      </c>
      <c r="K8" s="202" t="s">
        <v>160</v>
      </c>
      <c r="L8" s="202" t="s">
        <v>167</v>
      </c>
      <c r="M8" s="202" t="s">
        <v>158</v>
      </c>
      <c r="N8" s="202" t="s">
        <v>161</v>
      </c>
      <c r="O8" s="202" t="s">
        <v>101</v>
      </c>
      <c r="P8" s="202" t="s">
        <v>159</v>
      </c>
      <c r="Q8" s="190"/>
      <c r="R8" s="44">
        <f>$F$3+1</f>
        <v>2008</v>
      </c>
      <c r="S8" s="44">
        <f>$F$3+2</f>
        <v>2009</v>
      </c>
      <c r="T8" s="44">
        <f>$F$3+3</f>
        <v>2010</v>
      </c>
      <c r="U8" s="44">
        <f>$F$3+4</f>
        <v>2011</v>
      </c>
      <c r="V8" s="44">
        <f>$F$3+5</f>
        <v>2012</v>
      </c>
      <c r="W8" s="44">
        <f>$F$3+6</f>
        <v>2013</v>
      </c>
      <c r="X8" s="44">
        <f>$F$3+7</f>
        <v>2014</v>
      </c>
      <c r="Y8" s="44">
        <f>$F$3+8</f>
        <v>2015</v>
      </c>
      <c r="Z8" s="44">
        <f>$F$3+9</f>
        <v>2016</v>
      </c>
      <c r="AA8" s="44">
        <f>$F$3+10</f>
        <v>2017</v>
      </c>
      <c r="AB8" s="44">
        <f>$F$3+11</f>
        <v>2018</v>
      </c>
      <c r="AC8" s="44">
        <f>$F$3+12</f>
        <v>2019</v>
      </c>
      <c r="AD8" s="44">
        <f>$F$3+13</f>
        <v>2020</v>
      </c>
      <c r="AE8" s="44">
        <f>$F$3+14</f>
        <v>2021</v>
      </c>
      <c r="AF8" s="44">
        <f>$F$3+15</f>
        <v>2022</v>
      </c>
      <c r="AG8" s="44">
        <f>$F$3+16</f>
        <v>2023</v>
      </c>
      <c r="AH8" s="44">
        <f>$F$3+17</f>
        <v>2024</v>
      </c>
      <c r="AI8" s="44">
        <f>$F$3+18</f>
        <v>2025</v>
      </c>
      <c r="AJ8" s="44">
        <f>$F$3+19</f>
        <v>2026</v>
      </c>
      <c r="AK8" s="44">
        <f>$F$3+20</f>
        <v>2027</v>
      </c>
      <c r="AL8" s="44">
        <f>$F$3+21</f>
        <v>2028</v>
      </c>
      <c r="AM8" s="44">
        <f>$F$3+22</f>
        <v>2029</v>
      </c>
      <c r="AN8" s="44">
        <f>$F$3+23</f>
        <v>2030</v>
      </c>
      <c r="AO8" s="44">
        <f>$F$3+24</f>
        <v>2031</v>
      </c>
      <c r="AP8" s="44">
        <f>$F$3+25</f>
        <v>2032</v>
      </c>
      <c r="AQ8" s="44">
        <f>$F$3+26</f>
        <v>2033</v>
      </c>
      <c r="AR8" s="44">
        <f>$F$3+27</f>
        <v>2034</v>
      </c>
      <c r="AS8" s="44">
        <f>$F$3+28</f>
        <v>2035</v>
      </c>
      <c r="AT8" s="44">
        <f>$F$3+29</f>
        <v>2036</v>
      </c>
      <c r="AU8" s="44">
        <f>$F$3+30</f>
        <v>2037</v>
      </c>
      <c r="AV8" s="44">
        <f>$F$3+31</f>
        <v>2038</v>
      </c>
      <c r="AW8" s="44">
        <f>$F$3+32</f>
        <v>2039</v>
      </c>
      <c r="AX8" s="44">
        <f>$F$3+33</f>
        <v>2040</v>
      </c>
      <c r="AY8" s="44">
        <f>$F$3+34</f>
        <v>2041</v>
      </c>
      <c r="AZ8" s="44">
        <f>$F$3+35</f>
        <v>2042</v>
      </c>
      <c r="BA8" s="44">
        <f>$F$3+36</f>
        <v>2043</v>
      </c>
      <c r="BB8" s="44">
        <f>$F$3+37</f>
        <v>2044</v>
      </c>
      <c r="BC8" s="44">
        <f>$F$3+38</f>
        <v>2045</v>
      </c>
      <c r="BD8" s="44">
        <f>$F$3+39</f>
        <v>2046</v>
      </c>
      <c r="BE8" s="44">
        <f>$F$3+40</f>
        <v>2047</v>
      </c>
      <c r="BF8" s="44">
        <f>$F$3+41</f>
        <v>2048</v>
      </c>
      <c r="BG8" s="44">
        <f>$F$3+42</f>
        <v>2049</v>
      </c>
      <c r="BH8" s="44">
        <f>$F$3+43</f>
        <v>2050</v>
      </c>
      <c r="BI8" s="44">
        <f>$F$3+44</f>
        <v>2051</v>
      </c>
      <c r="BJ8" s="44"/>
      <c r="BK8" s="44"/>
      <c r="BM8" s="44">
        <f>$F$3+1</f>
        <v>2008</v>
      </c>
      <c r="BN8" s="44">
        <f>$F$3+2</f>
        <v>2009</v>
      </c>
      <c r="BO8" s="44">
        <f>$F$3+3</f>
        <v>2010</v>
      </c>
      <c r="BP8" s="44">
        <f>$F$3+4</f>
        <v>2011</v>
      </c>
      <c r="BQ8" s="44">
        <f>$F$3+5</f>
        <v>2012</v>
      </c>
      <c r="BR8" s="44">
        <f>$F$3+6</f>
        <v>2013</v>
      </c>
      <c r="BS8" s="44">
        <f>$F$3+7</f>
        <v>2014</v>
      </c>
      <c r="BT8" s="44">
        <f>$F$3+8</f>
        <v>2015</v>
      </c>
      <c r="BU8" s="44">
        <f>$F$3+9</f>
        <v>2016</v>
      </c>
      <c r="BV8" s="44">
        <f>$F$3+10</f>
        <v>2017</v>
      </c>
      <c r="BW8" s="44">
        <f>$F$3+11</f>
        <v>2018</v>
      </c>
      <c r="BX8" s="44">
        <f>$F$3+12</f>
        <v>2019</v>
      </c>
      <c r="BY8" s="44">
        <f>$F$3+13</f>
        <v>2020</v>
      </c>
      <c r="BZ8" s="44">
        <f>$F$3+14</f>
        <v>2021</v>
      </c>
      <c r="CA8" s="44">
        <f>$F$3+15</f>
        <v>2022</v>
      </c>
      <c r="CB8" s="44">
        <f>$F$3+16</f>
        <v>2023</v>
      </c>
      <c r="CC8" s="44">
        <f>$F$3+17</f>
        <v>2024</v>
      </c>
      <c r="CD8" s="44">
        <f>$F$3+18</f>
        <v>2025</v>
      </c>
      <c r="CE8" s="44">
        <f>$F$3+19</f>
        <v>2026</v>
      </c>
      <c r="CF8" s="44">
        <f>$F$3+20</f>
        <v>2027</v>
      </c>
      <c r="CG8" s="44">
        <f>$F$3+21</f>
        <v>2028</v>
      </c>
      <c r="CH8" s="44">
        <f>$F$3+22</f>
        <v>2029</v>
      </c>
      <c r="CI8" s="44">
        <f>$F$3+23</f>
        <v>2030</v>
      </c>
      <c r="CJ8" s="44">
        <f>$F$3+24</f>
        <v>2031</v>
      </c>
      <c r="CK8" s="44">
        <f>$F$3+25</f>
        <v>2032</v>
      </c>
      <c r="CL8" s="44">
        <f>$F$3+26</f>
        <v>2033</v>
      </c>
      <c r="CM8" s="44">
        <f>$F$3+27</f>
        <v>2034</v>
      </c>
      <c r="CN8" s="44">
        <f>$F$3+28</f>
        <v>2035</v>
      </c>
      <c r="CO8" s="44">
        <f>$F$3+29</f>
        <v>2036</v>
      </c>
      <c r="CP8" s="44">
        <f>$F$3+30</f>
        <v>2037</v>
      </c>
      <c r="CQ8" s="44">
        <f>$F$3+31</f>
        <v>2038</v>
      </c>
      <c r="CR8" s="44">
        <f>$F$3+32</f>
        <v>2039</v>
      </c>
      <c r="CS8" s="44">
        <f>$F$3+33</f>
        <v>2040</v>
      </c>
      <c r="CT8" s="44">
        <f>$F$3+34</f>
        <v>2041</v>
      </c>
      <c r="CU8" s="44">
        <f>$F$3+35</f>
        <v>2042</v>
      </c>
      <c r="CV8" s="44">
        <f>$F$3+36</f>
        <v>2043</v>
      </c>
      <c r="CW8" s="44">
        <f>$F$3+37</f>
        <v>2044</v>
      </c>
      <c r="CX8" s="44">
        <f>$F$3+38</f>
        <v>2045</v>
      </c>
      <c r="CY8" s="44">
        <f>$F$3+39</f>
        <v>2046</v>
      </c>
      <c r="CZ8" s="44">
        <f>$F$3+40</f>
        <v>2047</v>
      </c>
      <c r="DA8" s="44">
        <f>$F$3+41</f>
        <v>2048</v>
      </c>
      <c r="DB8" s="44">
        <f>$F$3+42</f>
        <v>2049</v>
      </c>
      <c r="DC8" s="44">
        <f>$F$3+43</f>
        <v>2050</v>
      </c>
      <c r="DD8" s="44">
        <f>$F$3+44</f>
        <v>2051</v>
      </c>
      <c r="DF8" s="44">
        <f>$F$3+1</f>
        <v>2008</v>
      </c>
      <c r="DG8" s="44">
        <f>$F$3+2</f>
        <v>2009</v>
      </c>
      <c r="DH8" s="44">
        <f>$F$3+3</f>
        <v>2010</v>
      </c>
      <c r="DI8" s="44">
        <f>$F$3+4</f>
        <v>2011</v>
      </c>
      <c r="DJ8" s="44">
        <f>$F$3+5</f>
        <v>2012</v>
      </c>
      <c r="DK8" s="44">
        <f>$F$3+6</f>
        <v>2013</v>
      </c>
      <c r="DL8" s="44">
        <f>$F$3+7</f>
        <v>2014</v>
      </c>
      <c r="DM8" s="44">
        <f>$F$3+8</f>
        <v>2015</v>
      </c>
      <c r="DN8" s="44">
        <f>$F$3+9</f>
        <v>2016</v>
      </c>
      <c r="DO8" s="44">
        <f>$F$3+10</f>
        <v>2017</v>
      </c>
      <c r="DP8" s="44">
        <f>$F$3+11</f>
        <v>2018</v>
      </c>
      <c r="DQ8" s="44">
        <f>$F$3+12</f>
        <v>2019</v>
      </c>
      <c r="DR8" s="44">
        <f>$F$3+13</f>
        <v>2020</v>
      </c>
      <c r="DS8" s="44">
        <f>$F$3+14</f>
        <v>2021</v>
      </c>
      <c r="DT8" s="44">
        <f>$F$3+15</f>
        <v>2022</v>
      </c>
      <c r="DU8" s="44">
        <f>$F$3+16</f>
        <v>2023</v>
      </c>
      <c r="DV8" s="44">
        <f>$F$3+17</f>
        <v>2024</v>
      </c>
      <c r="DW8" s="44">
        <f>$F$3+18</f>
        <v>2025</v>
      </c>
      <c r="DX8" s="44">
        <f>$F$3+19</f>
        <v>2026</v>
      </c>
      <c r="DY8" s="44">
        <f>$F$3+20</f>
        <v>2027</v>
      </c>
      <c r="DZ8" s="44">
        <f>$F$3+21</f>
        <v>2028</v>
      </c>
      <c r="EA8" s="44">
        <f>$F$3+22</f>
        <v>2029</v>
      </c>
      <c r="EB8" s="44">
        <f>$F$3+23</f>
        <v>2030</v>
      </c>
      <c r="EC8" s="44">
        <f>$F$3+24</f>
        <v>2031</v>
      </c>
      <c r="ED8" s="44">
        <f>$F$3+25</f>
        <v>2032</v>
      </c>
      <c r="EE8" s="44">
        <f>$F$3+26</f>
        <v>2033</v>
      </c>
      <c r="EF8" s="44">
        <f>$F$3+27</f>
        <v>2034</v>
      </c>
      <c r="EG8" s="44">
        <f>$F$3+28</f>
        <v>2035</v>
      </c>
      <c r="EH8" s="44">
        <f>$F$3+29</f>
        <v>2036</v>
      </c>
      <c r="EI8" s="44">
        <f>$F$3+30</f>
        <v>2037</v>
      </c>
      <c r="EJ8" s="44">
        <f>$F$3+31</f>
        <v>2038</v>
      </c>
      <c r="EK8" s="44">
        <f>$F$3+32</f>
        <v>2039</v>
      </c>
      <c r="EL8" s="44">
        <f>$F$3+33</f>
        <v>2040</v>
      </c>
      <c r="EM8" s="44">
        <f>$F$3+34</f>
        <v>2041</v>
      </c>
      <c r="EN8" s="44">
        <f>$F$3+35</f>
        <v>2042</v>
      </c>
      <c r="EO8" s="44">
        <f>$F$3+36</f>
        <v>2043</v>
      </c>
      <c r="EP8" s="44">
        <f>$F$3+37</f>
        <v>2044</v>
      </c>
      <c r="EQ8" s="44">
        <f>$F$3+38</f>
        <v>2045</v>
      </c>
      <c r="ER8" s="44">
        <f>$F$3+39</f>
        <v>2046</v>
      </c>
      <c r="ES8" s="44">
        <f>$F$3+40</f>
        <v>2047</v>
      </c>
      <c r="ET8" s="44">
        <f>$F$3+41</f>
        <v>2048</v>
      </c>
      <c r="EU8" s="44">
        <f>$F$3+42</f>
        <v>2049</v>
      </c>
      <c r="EV8" s="44">
        <f>$F$3+43</f>
        <v>2050</v>
      </c>
      <c r="EW8" s="44">
        <f>$F$3+44</f>
        <v>2051</v>
      </c>
    </row>
    <row r="9" spans="1:153" s="84" customFormat="1" ht="15" customHeight="1">
      <c r="A9" s="204" t="s">
        <v>65</v>
      </c>
      <c r="B9" s="78" t="s">
        <v>66</v>
      </c>
      <c r="C9" s="187" t="s">
        <v>67</v>
      </c>
      <c r="D9" s="188" t="s">
        <v>68</v>
      </c>
      <c r="E9" s="188" t="s">
        <v>69</v>
      </c>
      <c r="F9" s="188" t="s">
        <v>70</v>
      </c>
      <c r="G9" s="188" t="s">
        <v>85</v>
      </c>
      <c r="H9" s="188" t="s">
        <v>86</v>
      </c>
      <c r="I9" s="188" t="s">
        <v>87</v>
      </c>
      <c r="J9" s="188" t="s">
        <v>88</v>
      </c>
      <c r="K9" s="188" t="s">
        <v>89</v>
      </c>
      <c r="L9" s="188" t="s">
        <v>90</v>
      </c>
      <c r="M9" s="188" t="s">
        <v>91</v>
      </c>
      <c r="N9" s="188" t="s">
        <v>97</v>
      </c>
      <c r="O9" s="188" t="s">
        <v>151</v>
      </c>
      <c r="P9" s="188" t="s">
        <v>152</v>
      </c>
      <c r="Q9" s="227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</row>
    <row r="10" spans="1:153" ht="12.75">
      <c r="A10" s="205"/>
      <c r="B10" s="210" t="s">
        <v>150</v>
      </c>
      <c r="C10" s="189"/>
      <c r="D10" s="190"/>
      <c r="E10" s="190"/>
      <c r="F10" s="190"/>
      <c r="G10" s="190"/>
      <c r="H10" s="190"/>
      <c r="I10" s="190"/>
      <c r="J10" s="190"/>
      <c r="K10" s="190"/>
      <c r="L10" s="191"/>
      <c r="M10" s="191"/>
      <c r="N10" s="191"/>
      <c r="O10" s="190"/>
      <c r="P10" s="190"/>
      <c r="Q10" s="190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</row>
    <row r="11" spans="1:153" ht="12.75">
      <c r="A11" s="207">
        <v>1</v>
      </c>
      <c r="B11" s="87" t="s">
        <v>129</v>
      </c>
      <c r="C11" s="208">
        <v>380</v>
      </c>
      <c r="D11" s="192"/>
      <c r="E11" s="262">
        <v>1975</v>
      </c>
      <c r="F11" s="268">
        <v>50</v>
      </c>
      <c r="G11" s="246">
        <f>C11*(F11-K11)</f>
        <v>12540</v>
      </c>
      <c r="H11" s="221">
        <f aca="true" t="shared" si="0" ref="H11:H32">(C11-D11)*0.9^(F$5-E11+1)</f>
        <v>11.743198665400412</v>
      </c>
      <c r="I11" s="229"/>
      <c r="J11" s="45">
        <f>IF(I11&gt;0,I11,H11)</f>
        <v>11.743198665400412</v>
      </c>
      <c r="K11" s="194">
        <f aca="true" t="shared" si="1" ref="K11:K32">IF((E11+F11)&lt;$F$5,0.01,E11+F11-$F$5-1)</f>
        <v>17</v>
      </c>
      <c r="L11" s="193">
        <f>IF(K11&lt;1,0,J11/K11)</f>
        <v>0.6907763920823772</v>
      </c>
      <c r="M11" s="194">
        <f aca="true" t="shared" si="2" ref="M11:M32">IF(($F$5+K11)&lt;$F$3,0.01,$F$5+K11-$F$3)</f>
        <v>17</v>
      </c>
      <c r="N11" s="50">
        <f>J11/K11*M11</f>
        <v>11.743198665400412</v>
      </c>
      <c r="O11" s="217">
        <v>400</v>
      </c>
      <c r="P11" s="224">
        <f aca="true" t="shared" si="3" ref="P11:P17">E11+F11</f>
        <v>2025</v>
      </c>
      <c r="Q11" s="228">
        <f>C11*K11</f>
        <v>6460</v>
      </c>
      <c r="R11" s="45">
        <f aca="true" t="shared" si="4" ref="R11:AA20">IF(R$8&gt;$F$3+$M11,0,$L11)</f>
        <v>0.6907763920823772</v>
      </c>
      <c r="S11" s="45">
        <f t="shared" si="4"/>
        <v>0.6907763920823772</v>
      </c>
      <c r="T11" s="45">
        <f t="shared" si="4"/>
        <v>0.6907763920823772</v>
      </c>
      <c r="U11" s="45">
        <f t="shared" si="4"/>
        <v>0.6907763920823772</v>
      </c>
      <c r="V11" s="45">
        <f t="shared" si="4"/>
        <v>0.6907763920823772</v>
      </c>
      <c r="W11" s="45">
        <f t="shared" si="4"/>
        <v>0.6907763920823772</v>
      </c>
      <c r="X11" s="45">
        <f t="shared" si="4"/>
        <v>0.6907763920823772</v>
      </c>
      <c r="Y11" s="45">
        <f t="shared" si="4"/>
        <v>0.6907763920823772</v>
      </c>
      <c r="Z11" s="45">
        <f t="shared" si="4"/>
        <v>0.6907763920823772</v>
      </c>
      <c r="AA11" s="45">
        <f t="shared" si="4"/>
        <v>0.6907763920823772</v>
      </c>
      <c r="AB11" s="45">
        <f aca="true" t="shared" si="5" ref="AB11:AK20">IF(AB$8&gt;$F$3+$M11,0,$L11)</f>
        <v>0.6907763920823772</v>
      </c>
      <c r="AC11" s="45">
        <f t="shared" si="5"/>
        <v>0.6907763920823772</v>
      </c>
      <c r="AD11" s="45">
        <f t="shared" si="5"/>
        <v>0.6907763920823772</v>
      </c>
      <c r="AE11" s="45">
        <f t="shared" si="5"/>
        <v>0.6907763920823772</v>
      </c>
      <c r="AF11" s="45">
        <f t="shared" si="5"/>
        <v>0.6907763920823772</v>
      </c>
      <c r="AG11" s="45">
        <f t="shared" si="5"/>
        <v>0.6907763920823772</v>
      </c>
      <c r="AH11" s="45">
        <f t="shared" si="5"/>
        <v>0.6907763920823772</v>
      </c>
      <c r="AI11" s="45">
        <f t="shared" si="5"/>
        <v>0</v>
      </c>
      <c r="AJ11" s="45">
        <f t="shared" si="5"/>
        <v>0</v>
      </c>
      <c r="AK11" s="45">
        <f t="shared" si="5"/>
        <v>0</v>
      </c>
      <c r="AL11" s="45">
        <f aca="true" t="shared" si="6" ref="AL11:AU20">IF(AL$8&gt;$F$3+$M11,0,$L11)</f>
        <v>0</v>
      </c>
      <c r="AM11" s="45">
        <f t="shared" si="6"/>
        <v>0</v>
      </c>
      <c r="AN11" s="45">
        <f t="shared" si="6"/>
        <v>0</v>
      </c>
      <c r="AO11" s="45">
        <f t="shared" si="6"/>
        <v>0</v>
      </c>
      <c r="AP11" s="45">
        <f t="shared" si="6"/>
        <v>0</v>
      </c>
      <c r="AQ11" s="45">
        <f t="shared" si="6"/>
        <v>0</v>
      </c>
      <c r="AR11" s="45">
        <f t="shared" si="6"/>
        <v>0</v>
      </c>
      <c r="AS11" s="45">
        <f t="shared" si="6"/>
        <v>0</v>
      </c>
      <c r="AT11" s="45">
        <f t="shared" si="6"/>
        <v>0</v>
      </c>
      <c r="AU11" s="45">
        <f t="shared" si="6"/>
        <v>0</v>
      </c>
      <c r="AV11" s="45">
        <f aca="true" t="shared" si="7" ref="AV11:BI20">IF(AV$8&gt;$F$3+$M11,0,$L11)</f>
        <v>0</v>
      </c>
      <c r="AW11" s="45">
        <f t="shared" si="7"/>
        <v>0</v>
      </c>
      <c r="AX11" s="45">
        <f t="shared" si="7"/>
        <v>0</v>
      </c>
      <c r="AY11" s="45">
        <f t="shared" si="7"/>
        <v>0</v>
      </c>
      <c r="AZ11" s="45">
        <f t="shared" si="7"/>
        <v>0</v>
      </c>
      <c r="BA11" s="45">
        <f t="shared" si="7"/>
        <v>0</v>
      </c>
      <c r="BB11" s="45">
        <f t="shared" si="7"/>
        <v>0</v>
      </c>
      <c r="BC11" s="45">
        <f t="shared" si="7"/>
        <v>0</v>
      </c>
      <c r="BD11" s="45">
        <f t="shared" si="7"/>
        <v>0</v>
      </c>
      <c r="BE11" s="45">
        <f t="shared" si="7"/>
        <v>0</v>
      </c>
      <c r="BF11" s="45">
        <f t="shared" si="7"/>
        <v>0</v>
      </c>
      <c r="BG11" s="45">
        <f t="shared" si="7"/>
        <v>0</v>
      </c>
      <c r="BH11" s="45">
        <f t="shared" si="7"/>
        <v>0</v>
      </c>
      <c r="BI11" s="45">
        <f t="shared" si="7"/>
        <v>0</v>
      </c>
      <c r="BJ11" s="45"/>
      <c r="BK11" s="45"/>
      <c r="BM11" s="45">
        <f aca="true" t="shared" si="8" ref="BM11:BV20">IF($P11&lt;BM$8+1,IF(BM$8&lt;$F11+$P11,$O11/$F11,0),0)</f>
        <v>0</v>
      </c>
      <c r="BN11" s="45">
        <f t="shared" si="8"/>
        <v>0</v>
      </c>
      <c r="BO11" s="45">
        <f t="shared" si="8"/>
        <v>0</v>
      </c>
      <c r="BP11" s="45">
        <f t="shared" si="8"/>
        <v>0</v>
      </c>
      <c r="BQ11" s="45">
        <f t="shared" si="8"/>
        <v>0</v>
      </c>
      <c r="BR11" s="45">
        <f t="shared" si="8"/>
        <v>0</v>
      </c>
      <c r="BS11" s="45">
        <f t="shared" si="8"/>
        <v>0</v>
      </c>
      <c r="BT11" s="45">
        <f t="shared" si="8"/>
        <v>0</v>
      </c>
      <c r="BU11" s="45">
        <f t="shared" si="8"/>
        <v>0</v>
      </c>
      <c r="BV11" s="45">
        <f t="shared" si="8"/>
        <v>0</v>
      </c>
      <c r="BW11" s="45">
        <f aca="true" t="shared" si="9" ref="BW11:CF20">IF($P11&lt;BW$8+1,IF(BW$8&lt;$F11+$P11,$O11/$F11,0),0)</f>
        <v>0</v>
      </c>
      <c r="BX11" s="45">
        <f t="shared" si="9"/>
        <v>0</v>
      </c>
      <c r="BY11" s="45">
        <f t="shared" si="9"/>
        <v>0</v>
      </c>
      <c r="BZ11" s="45">
        <f t="shared" si="9"/>
        <v>0</v>
      </c>
      <c r="CA11" s="45">
        <f t="shared" si="9"/>
        <v>0</v>
      </c>
      <c r="CB11" s="45">
        <f t="shared" si="9"/>
        <v>0</v>
      </c>
      <c r="CC11" s="45">
        <f t="shared" si="9"/>
        <v>0</v>
      </c>
      <c r="CD11" s="45">
        <f t="shared" si="9"/>
        <v>8</v>
      </c>
      <c r="CE11" s="45">
        <f t="shared" si="9"/>
        <v>8</v>
      </c>
      <c r="CF11" s="45">
        <f t="shared" si="9"/>
        <v>8</v>
      </c>
      <c r="CG11" s="45">
        <f aca="true" t="shared" si="10" ref="CG11:CP20">IF($P11&lt;CG$8+1,IF(CG$8&lt;$F11+$P11,$O11/$F11,0),0)</f>
        <v>8</v>
      </c>
      <c r="CH11" s="45">
        <f t="shared" si="10"/>
        <v>8</v>
      </c>
      <c r="CI11" s="45">
        <f t="shared" si="10"/>
        <v>8</v>
      </c>
      <c r="CJ11" s="45">
        <f t="shared" si="10"/>
        <v>8</v>
      </c>
      <c r="CK11" s="45">
        <f t="shared" si="10"/>
        <v>8</v>
      </c>
      <c r="CL11" s="45">
        <f t="shared" si="10"/>
        <v>8</v>
      </c>
      <c r="CM11" s="45">
        <f t="shared" si="10"/>
        <v>8</v>
      </c>
      <c r="CN11" s="45">
        <f t="shared" si="10"/>
        <v>8</v>
      </c>
      <c r="CO11" s="45">
        <f t="shared" si="10"/>
        <v>8</v>
      </c>
      <c r="CP11" s="45">
        <f t="shared" si="10"/>
        <v>8</v>
      </c>
      <c r="CQ11" s="45">
        <f aca="true" t="shared" si="11" ref="CQ11:DD20">IF($P11&lt;CQ$8+1,IF(CQ$8&lt;$F11+$P11,$O11/$F11,0),0)</f>
        <v>8</v>
      </c>
      <c r="CR11" s="45">
        <f t="shared" si="11"/>
        <v>8</v>
      </c>
      <c r="CS11" s="45">
        <f t="shared" si="11"/>
        <v>8</v>
      </c>
      <c r="CT11" s="45">
        <f t="shared" si="11"/>
        <v>8</v>
      </c>
      <c r="CU11" s="45">
        <f t="shared" si="11"/>
        <v>8</v>
      </c>
      <c r="CV11" s="45">
        <f t="shared" si="11"/>
        <v>8</v>
      </c>
      <c r="CW11" s="45">
        <f t="shared" si="11"/>
        <v>8</v>
      </c>
      <c r="CX11" s="45">
        <f t="shared" si="11"/>
        <v>8</v>
      </c>
      <c r="CY11" s="45">
        <f t="shared" si="11"/>
        <v>8</v>
      </c>
      <c r="CZ11" s="45">
        <f t="shared" si="11"/>
        <v>8</v>
      </c>
      <c r="DA11" s="45">
        <f t="shared" si="11"/>
        <v>8</v>
      </c>
      <c r="DB11" s="45">
        <f t="shared" si="11"/>
        <v>8</v>
      </c>
      <c r="DC11" s="45">
        <f t="shared" si="11"/>
        <v>8</v>
      </c>
      <c r="DD11" s="45">
        <f t="shared" si="11"/>
        <v>8</v>
      </c>
      <c r="DF11" s="83">
        <f aca="true" t="shared" si="12" ref="DF11:DF38">IF($P11=DF$8,$O11,0)</f>
        <v>0</v>
      </c>
      <c r="DG11" s="83">
        <f aca="true" t="shared" si="13" ref="DG11:EW16">IF($P11=DG$8,$O11,0)</f>
        <v>0</v>
      </c>
      <c r="DH11" s="83">
        <f t="shared" si="13"/>
        <v>0</v>
      </c>
      <c r="DI11" s="83">
        <f t="shared" si="13"/>
        <v>0</v>
      </c>
      <c r="DJ11" s="83">
        <f t="shared" si="13"/>
        <v>0</v>
      </c>
      <c r="DK11" s="83">
        <f t="shared" si="13"/>
        <v>0</v>
      </c>
      <c r="DL11" s="83">
        <f t="shared" si="13"/>
        <v>0</v>
      </c>
      <c r="DM11" s="83">
        <f t="shared" si="13"/>
        <v>0</v>
      </c>
      <c r="DN11" s="83">
        <f t="shared" si="13"/>
        <v>0</v>
      </c>
      <c r="DO11" s="83">
        <f t="shared" si="13"/>
        <v>0</v>
      </c>
      <c r="DP11" s="83">
        <f t="shared" si="13"/>
        <v>0</v>
      </c>
      <c r="DQ11" s="83">
        <f t="shared" si="13"/>
        <v>0</v>
      </c>
      <c r="DR11" s="83">
        <f t="shared" si="13"/>
        <v>0</v>
      </c>
      <c r="DS11" s="83">
        <f t="shared" si="13"/>
        <v>0</v>
      </c>
      <c r="DT11" s="83">
        <f t="shared" si="13"/>
        <v>0</v>
      </c>
      <c r="DU11" s="83">
        <f t="shared" si="13"/>
        <v>0</v>
      </c>
      <c r="DV11" s="83">
        <f t="shared" si="13"/>
        <v>0</v>
      </c>
      <c r="DW11" s="83">
        <f t="shared" si="13"/>
        <v>400</v>
      </c>
      <c r="DX11" s="83">
        <f t="shared" si="13"/>
        <v>0</v>
      </c>
      <c r="DY11" s="83">
        <f t="shared" si="13"/>
        <v>0</v>
      </c>
      <c r="DZ11" s="83">
        <f t="shared" si="13"/>
        <v>0</v>
      </c>
      <c r="EA11" s="83">
        <f t="shared" si="13"/>
        <v>0</v>
      </c>
      <c r="EB11" s="83">
        <f t="shared" si="13"/>
        <v>0</v>
      </c>
      <c r="EC11" s="83">
        <f t="shared" si="13"/>
        <v>0</v>
      </c>
      <c r="ED11" s="83">
        <f t="shared" si="13"/>
        <v>0</v>
      </c>
      <c r="EE11" s="83">
        <f t="shared" si="13"/>
        <v>0</v>
      </c>
      <c r="EF11" s="83">
        <f t="shared" si="13"/>
        <v>0</v>
      </c>
      <c r="EG11" s="83">
        <f t="shared" si="13"/>
        <v>0</v>
      </c>
      <c r="EH11" s="83">
        <f t="shared" si="13"/>
        <v>0</v>
      </c>
      <c r="EI11" s="83">
        <f t="shared" si="13"/>
        <v>0</v>
      </c>
      <c r="EJ11" s="83">
        <f t="shared" si="13"/>
        <v>0</v>
      </c>
      <c r="EK11" s="83">
        <f t="shared" si="13"/>
        <v>0</v>
      </c>
      <c r="EL11" s="83">
        <f t="shared" si="13"/>
        <v>0</v>
      </c>
      <c r="EM11" s="83">
        <f t="shared" si="13"/>
        <v>0</v>
      </c>
      <c r="EN11" s="83">
        <f t="shared" si="13"/>
        <v>0</v>
      </c>
      <c r="EO11" s="83">
        <f t="shared" si="13"/>
        <v>0</v>
      </c>
      <c r="EP11" s="83">
        <f t="shared" si="13"/>
        <v>0</v>
      </c>
      <c r="EQ11" s="83">
        <f t="shared" si="13"/>
        <v>0</v>
      </c>
      <c r="ER11" s="83">
        <f t="shared" si="13"/>
        <v>0</v>
      </c>
      <c r="ES11" s="83">
        <f t="shared" si="13"/>
        <v>0</v>
      </c>
      <c r="ET11" s="83">
        <f t="shared" si="13"/>
        <v>0</v>
      </c>
      <c r="EU11" s="83">
        <f t="shared" si="13"/>
        <v>0</v>
      </c>
      <c r="EV11" s="83">
        <f t="shared" si="13"/>
        <v>0</v>
      </c>
      <c r="EW11" s="83">
        <f t="shared" si="13"/>
        <v>0</v>
      </c>
    </row>
    <row r="12" spans="1:153" ht="12.75" outlineLevel="1">
      <c r="A12" s="207">
        <v>2</v>
      </c>
      <c r="B12" s="87" t="s">
        <v>137</v>
      </c>
      <c r="C12" s="208">
        <v>20</v>
      </c>
      <c r="D12" s="192"/>
      <c r="E12" s="262">
        <v>1975</v>
      </c>
      <c r="F12" s="268">
        <v>50</v>
      </c>
      <c r="G12" s="246">
        <f aca="true" t="shared" si="14" ref="G12:G32">C12*(F12-K12)</f>
        <v>660</v>
      </c>
      <c r="H12" s="221">
        <f t="shared" si="0"/>
        <v>0.6180630876526532</v>
      </c>
      <c r="I12" s="229"/>
      <c r="J12" s="45">
        <f aca="true" t="shared" si="15" ref="J12:J32">IF(I12&gt;0,I12,H12)</f>
        <v>0.6180630876526532</v>
      </c>
      <c r="K12" s="194">
        <f t="shared" si="1"/>
        <v>17</v>
      </c>
      <c r="L12" s="193">
        <f aca="true" t="shared" si="16" ref="L12:L32">IF(K12&lt;1,0,J12/K12)</f>
        <v>0.03635665221486195</v>
      </c>
      <c r="M12" s="194">
        <f t="shared" si="2"/>
        <v>17</v>
      </c>
      <c r="N12" s="50">
        <f aca="true" t="shared" si="17" ref="N12:N32">J12/K12*M12</f>
        <v>0.6180630876526532</v>
      </c>
      <c r="O12" s="217">
        <v>20</v>
      </c>
      <c r="P12" s="224">
        <f t="shared" si="3"/>
        <v>2025</v>
      </c>
      <c r="Q12" s="228">
        <f aca="true" t="shared" si="18" ref="Q12:Q37">C12*K12</f>
        <v>340</v>
      </c>
      <c r="R12" s="45">
        <f t="shared" si="4"/>
        <v>0.03635665221486195</v>
      </c>
      <c r="S12" s="45">
        <f t="shared" si="4"/>
        <v>0.03635665221486195</v>
      </c>
      <c r="T12" s="45">
        <f t="shared" si="4"/>
        <v>0.03635665221486195</v>
      </c>
      <c r="U12" s="45">
        <f t="shared" si="4"/>
        <v>0.03635665221486195</v>
      </c>
      <c r="V12" s="45">
        <f t="shared" si="4"/>
        <v>0.03635665221486195</v>
      </c>
      <c r="W12" s="45">
        <f t="shared" si="4"/>
        <v>0.03635665221486195</v>
      </c>
      <c r="X12" s="45">
        <f t="shared" si="4"/>
        <v>0.03635665221486195</v>
      </c>
      <c r="Y12" s="45">
        <f t="shared" si="4"/>
        <v>0.03635665221486195</v>
      </c>
      <c r="Z12" s="45">
        <f t="shared" si="4"/>
        <v>0.03635665221486195</v>
      </c>
      <c r="AA12" s="45">
        <f t="shared" si="4"/>
        <v>0.03635665221486195</v>
      </c>
      <c r="AB12" s="45">
        <f t="shared" si="5"/>
        <v>0.03635665221486195</v>
      </c>
      <c r="AC12" s="45">
        <f t="shared" si="5"/>
        <v>0.03635665221486195</v>
      </c>
      <c r="AD12" s="45">
        <f t="shared" si="5"/>
        <v>0.03635665221486195</v>
      </c>
      <c r="AE12" s="45">
        <f t="shared" si="5"/>
        <v>0.03635665221486195</v>
      </c>
      <c r="AF12" s="45">
        <f t="shared" si="5"/>
        <v>0.03635665221486195</v>
      </c>
      <c r="AG12" s="45">
        <f t="shared" si="5"/>
        <v>0.03635665221486195</v>
      </c>
      <c r="AH12" s="45">
        <f t="shared" si="5"/>
        <v>0.03635665221486195</v>
      </c>
      <c r="AI12" s="45">
        <f t="shared" si="5"/>
        <v>0</v>
      </c>
      <c r="AJ12" s="45">
        <f t="shared" si="5"/>
        <v>0</v>
      </c>
      <c r="AK12" s="45">
        <f t="shared" si="5"/>
        <v>0</v>
      </c>
      <c r="AL12" s="45">
        <f t="shared" si="6"/>
        <v>0</v>
      </c>
      <c r="AM12" s="45">
        <f t="shared" si="6"/>
        <v>0</v>
      </c>
      <c r="AN12" s="45">
        <f t="shared" si="6"/>
        <v>0</v>
      </c>
      <c r="AO12" s="45">
        <f t="shared" si="6"/>
        <v>0</v>
      </c>
      <c r="AP12" s="45">
        <f t="shared" si="6"/>
        <v>0</v>
      </c>
      <c r="AQ12" s="45">
        <f t="shared" si="6"/>
        <v>0</v>
      </c>
      <c r="AR12" s="45">
        <f t="shared" si="6"/>
        <v>0</v>
      </c>
      <c r="AS12" s="45">
        <f t="shared" si="6"/>
        <v>0</v>
      </c>
      <c r="AT12" s="45">
        <f t="shared" si="6"/>
        <v>0</v>
      </c>
      <c r="AU12" s="45">
        <f t="shared" si="6"/>
        <v>0</v>
      </c>
      <c r="AV12" s="45">
        <f t="shared" si="7"/>
        <v>0</v>
      </c>
      <c r="AW12" s="45">
        <f t="shared" si="7"/>
        <v>0</v>
      </c>
      <c r="AX12" s="45">
        <f t="shared" si="7"/>
        <v>0</v>
      </c>
      <c r="AY12" s="45">
        <f t="shared" si="7"/>
        <v>0</v>
      </c>
      <c r="AZ12" s="45">
        <f t="shared" si="7"/>
        <v>0</v>
      </c>
      <c r="BA12" s="45">
        <f t="shared" si="7"/>
        <v>0</v>
      </c>
      <c r="BB12" s="45">
        <f t="shared" si="7"/>
        <v>0</v>
      </c>
      <c r="BC12" s="45">
        <f t="shared" si="7"/>
        <v>0</v>
      </c>
      <c r="BD12" s="45">
        <f t="shared" si="7"/>
        <v>0</v>
      </c>
      <c r="BE12" s="45">
        <f t="shared" si="7"/>
        <v>0</v>
      </c>
      <c r="BF12" s="45">
        <f t="shared" si="7"/>
        <v>0</v>
      </c>
      <c r="BG12" s="45">
        <f t="shared" si="7"/>
        <v>0</v>
      </c>
      <c r="BH12" s="45">
        <f t="shared" si="7"/>
        <v>0</v>
      </c>
      <c r="BI12" s="45">
        <f t="shared" si="7"/>
        <v>0</v>
      </c>
      <c r="BJ12" s="45"/>
      <c r="BK12" s="45"/>
      <c r="BM12" s="45">
        <f t="shared" si="8"/>
        <v>0</v>
      </c>
      <c r="BN12" s="45">
        <f t="shared" si="8"/>
        <v>0</v>
      </c>
      <c r="BO12" s="45">
        <f t="shared" si="8"/>
        <v>0</v>
      </c>
      <c r="BP12" s="45">
        <f t="shared" si="8"/>
        <v>0</v>
      </c>
      <c r="BQ12" s="45">
        <f t="shared" si="8"/>
        <v>0</v>
      </c>
      <c r="BR12" s="45">
        <f t="shared" si="8"/>
        <v>0</v>
      </c>
      <c r="BS12" s="45">
        <f t="shared" si="8"/>
        <v>0</v>
      </c>
      <c r="BT12" s="45">
        <f t="shared" si="8"/>
        <v>0</v>
      </c>
      <c r="BU12" s="45">
        <f t="shared" si="8"/>
        <v>0</v>
      </c>
      <c r="BV12" s="45">
        <f t="shared" si="8"/>
        <v>0</v>
      </c>
      <c r="BW12" s="45">
        <f t="shared" si="9"/>
        <v>0</v>
      </c>
      <c r="BX12" s="45">
        <f t="shared" si="9"/>
        <v>0</v>
      </c>
      <c r="BY12" s="45">
        <f t="shared" si="9"/>
        <v>0</v>
      </c>
      <c r="BZ12" s="45">
        <f t="shared" si="9"/>
        <v>0</v>
      </c>
      <c r="CA12" s="45">
        <f t="shared" si="9"/>
        <v>0</v>
      </c>
      <c r="CB12" s="45">
        <f t="shared" si="9"/>
        <v>0</v>
      </c>
      <c r="CC12" s="45">
        <f t="shared" si="9"/>
        <v>0</v>
      </c>
      <c r="CD12" s="45">
        <f t="shared" si="9"/>
        <v>0.4</v>
      </c>
      <c r="CE12" s="45">
        <f t="shared" si="9"/>
        <v>0.4</v>
      </c>
      <c r="CF12" s="45">
        <f t="shared" si="9"/>
        <v>0.4</v>
      </c>
      <c r="CG12" s="45">
        <f t="shared" si="10"/>
        <v>0.4</v>
      </c>
      <c r="CH12" s="45">
        <f t="shared" si="10"/>
        <v>0.4</v>
      </c>
      <c r="CI12" s="45">
        <f t="shared" si="10"/>
        <v>0.4</v>
      </c>
      <c r="CJ12" s="45">
        <f t="shared" si="10"/>
        <v>0.4</v>
      </c>
      <c r="CK12" s="45">
        <f t="shared" si="10"/>
        <v>0.4</v>
      </c>
      <c r="CL12" s="45">
        <f t="shared" si="10"/>
        <v>0.4</v>
      </c>
      <c r="CM12" s="45">
        <f t="shared" si="10"/>
        <v>0.4</v>
      </c>
      <c r="CN12" s="45">
        <f t="shared" si="10"/>
        <v>0.4</v>
      </c>
      <c r="CO12" s="45">
        <f t="shared" si="10"/>
        <v>0.4</v>
      </c>
      <c r="CP12" s="45">
        <f t="shared" si="10"/>
        <v>0.4</v>
      </c>
      <c r="CQ12" s="45">
        <f t="shared" si="11"/>
        <v>0.4</v>
      </c>
      <c r="CR12" s="45">
        <f t="shared" si="11"/>
        <v>0.4</v>
      </c>
      <c r="CS12" s="45">
        <f t="shared" si="11"/>
        <v>0.4</v>
      </c>
      <c r="CT12" s="45">
        <f t="shared" si="11"/>
        <v>0.4</v>
      </c>
      <c r="CU12" s="45">
        <f t="shared" si="11"/>
        <v>0.4</v>
      </c>
      <c r="CV12" s="45">
        <f t="shared" si="11"/>
        <v>0.4</v>
      </c>
      <c r="CW12" s="45">
        <f t="shared" si="11"/>
        <v>0.4</v>
      </c>
      <c r="CX12" s="45">
        <f t="shared" si="11"/>
        <v>0.4</v>
      </c>
      <c r="CY12" s="45">
        <f t="shared" si="11"/>
        <v>0.4</v>
      </c>
      <c r="CZ12" s="45">
        <f t="shared" si="11"/>
        <v>0.4</v>
      </c>
      <c r="DA12" s="45">
        <f t="shared" si="11"/>
        <v>0.4</v>
      </c>
      <c r="DB12" s="45">
        <f t="shared" si="11"/>
        <v>0.4</v>
      </c>
      <c r="DC12" s="45">
        <f t="shared" si="11"/>
        <v>0.4</v>
      </c>
      <c r="DD12" s="45">
        <f t="shared" si="11"/>
        <v>0.4</v>
      </c>
      <c r="DF12" s="83">
        <f t="shared" si="12"/>
        <v>0</v>
      </c>
      <c r="DG12" s="83">
        <f t="shared" si="13"/>
        <v>0</v>
      </c>
      <c r="DH12" s="83">
        <f t="shared" si="13"/>
        <v>0</v>
      </c>
      <c r="DI12" s="83">
        <f t="shared" si="13"/>
        <v>0</v>
      </c>
      <c r="DJ12" s="83">
        <f t="shared" si="13"/>
        <v>0</v>
      </c>
      <c r="DK12" s="83">
        <f t="shared" si="13"/>
        <v>0</v>
      </c>
      <c r="DL12" s="83">
        <f t="shared" si="13"/>
        <v>0</v>
      </c>
      <c r="DM12" s="83">
        <f t="shared" si="13"/>
        <v>0</v>
      </c>
      <c r="DN12" s="83">
        <f t="shared" si="13"/>
        <v>0</v>
      </c>
      <c r="DO12" s="83">
        <f t="shared" si="13"/>
        <v>0</v>
      </c>
      <c r="DP12" s="83">
        <f t="shared" si="13"/>
        <v>0</v>
      </c>
      <c r="DQ12" s="83">
        <f t="shared" si="13"/>
        <v>0</v>
      </c>
      <c r="DR12" s="83">
        <f t="shared" si="13"/>
        <v>0</v>
      </c>
      <c r="DS12" s="83">
        <f t="shared" si="13"/>
        <v>0</v>
      </c>
      <c r="DT12" s="83">
        <f t="shared" si="13"/>
        <v>0</v>
      </c>
      <c r="DU12" s="83">
        <f t="shared" si="13"/>
        <v>0</v>
      </c>
      <c r="DV12" s="83">
        <f t="shared" si="13"/>
        <v>0</v>
      </c>
      <c r="DW12" s="83">
        <f t="shared" si="13"/>
        <v>20</v>
      </c>
      <c r="DX12" s="83">
        <f t="shared" si="13"/>
        <v>0</v>
      </c>
      <c r="DY12" s="83">
        <f t="shared" si="13"/>
        <v>0</v>
      </c>
      <c r="DZ12" s="83">
        <f t="shared" si="13"/>
        <v>0</v>
      </c>
      <c r="EA12" s="83">
        <f t="shared" si="13"/>
        <v>0</v>
      </c>
      <c r="EB12" s="83">
        <f t="shared" si="13"/>
        <v>0</v>
      </c>
      <c r="EC12" s="83">
        <f t="shared" si="13"/>
        <v>0</v>
      </c>
      <c r="ED12" s="83">
        <f t="shared" si="13"/>
        <v>0</v>
      </c>
      <c r="EE12" s="83">
        <f t="shared" si="13"/>
        <v>0</v>
      </c>
      <c r="EF12" s="83">
        <f t="shared" si="13"/>
        <v>0</v>
      </c>
      <c r="EG12" s="83">
        <f t="shared" si="13"/>
        <v>0</v>
      </c>
      <c r="EH12" s="83">
        <f t="shared" si="13"/>
        <v>0</v>
      </c>
      <c r="EI12" s="83">
        <f t="shared" si="13"/>
        <v>0</v>
      </c>
      <c r="EJ12" s="83">
        <f t="shared" si="13"/>
        <v>0</v>
      </c>
      <c r="EK12" s="83">
        <f t="shared" si="13"/>
        <v>0</v>
      </c>
      <c r="EL12" s="83">
        <f t="shared" si="13"/>
        <v>0</v>
      </c>
      <c r="EM12" s="83">
        <f t="shared" si="13"/>
        <v>0</v>
      </c>
      <c r="EN12" s="83">
        <f t="shared" si="13"/>
        <v>0</v>
      </c>
      <c r="EO12" s="83">
        <f t="shared" si="13"/>
        <v>0</v>
      </c>
      <c r="EP12" s="83">
        <f t="shared" si="13"/>
        <v>0</v>
      </c>
      <c r="EQ12" s="83">
        <f t="shared" si="13"/>
        <v>0</v>
      </c>
      <c r="ER12" s="83">
        <f t="shared" si="13"/>
        <v>0</v>
      </c>
      <c r="ES12" s="83">
        <f t="shared" si="13"/>
        <v>0</v>
      </c>
      <c r="ET12" s="83">
        <f t="shared" si="13"/>
        <v>0</v>
      </c>
      <c r="EU12" s="83">
        <f t="shared" si="13"/>
        <v>0</v>
      </c>
      <c r="EV12" s="83">
        <f t="shared" si="13"/>
        <v>0</v>
      </c>
      <c r="EW12" s="83">
        <f t="shared" si="13"/>
        <v>0</v>
      </c>
    </row>
    <row r="13" spans="1:153" ht="12.75">
      <c r="A13" s="207">
        <v>3</v>
      </c>
      <c r="B13" s="87" t="s">
        <v>135</v>
      </c>
      <c r="C13" s="208">
        <v>127</v>
      </c>
      <c r="D13" s="192"/>
      <c r="E13" s="262">
        <v>2002</v>
      </c>
      <c r="F13" s="268">
        <v>40</v>
      </c>
      <c r="G13" s="246">
        <f t="shared" si="14"/>
        <v>762</v>
      </c>
      <c r="H13" s="221">
        <f t="shared" si="0"/>
        <v>67.49300700000002</v>
      </c>
      <c r="I13" s="229"/>
      <c r="J13" s="45">
        <f t="shared" si="15"/>
        <v>67.49300700000002</v>
      </c>
      <c r="K13" s="194">
        <f t="shared" si="1"/>
        <v>34</v>
      </c>
      <c r="L13" s="193">
        <f t="shared" si="16"/>
        <v>1.985088441176471</v>
      </c>
      <c r="M13" s="194">
        <f t="shared" si="2"/>
        <v>34</v>
      </c>
      <c r="N13" s="50">
        <f t="shared" si="17"/>
        <v>67.49300700000002</v>
      </c>
      <c r="O13" s="217">
        <v>150</v>
      </c>
      <c r="P13" s="224">
        <f t="shared" si="3"/>
        <v>2042</v>
      </c>
      <c r="Q13" s="228">
        <f t="shared" si="18"/>
        <v>4318</v>
      </c>
      <c r="R13" s="45">
        <f t="shared" si="4"/>
        <v>1.985088441176471</v>
      </c>
      <c r="S13" s="45">
        <f t="shared" si="4"/>
        <v>1.985088441176471</v>
      </c>
      <c r="T13" s="45">
        <f t="shared" si="4"/>
        <v>1.985088441176471</v>
      </c>
      <c r="U13" s="45">
        <f t="shared" si="4"/>
        <v>1.985088441176471</v>
      </c>
      <c r="V13" s="45">
        <f t="shared" si="4"/>
        <v>1.985088441176471</v>
      </c>
      <c r="W13" s="45">
        <f t="shared" si="4"/>
        <v>1.985088441176471</v>
      </c>
      <c r="X13" s="45">
        <f t="shared" si="4"/>
        <v>1.985088441176471</v>
      </c>
      <c r="Y13" s="45">
        <f t="shared" si="4"/>
        <v>1.985088441176471</v>
      </c>
      <c r="Z13" s="45">
        <f t="shared" si="4"/>
        <v>1.985088441176471</v>
      </c>
      <c r="AA13" s="45">
        <f t="shared" si="4"/>
        <v>1.985088441176471</v>
      </c>
      <c r="AB13" s="45">
        <f t="shared" si="5"/>
        <v>1.985088441176471</v>
      </c>
      <c r="AC13" s="45">
        <f t="shared" si="5"/>
        <v>1.985088441176471</v>
      </c>
      <c r="AD13" s="45">
        <f t="shared" si="5"/>
        <v>1.985088441176471</v>
      </c>
      <c r="AE13" s="45">
        <f t="shared" si="5"/>
        <v>1.985088441176471</v>
      </c>
      <c r="AF13" s="45">
        <f t="shared" si="5"/>
        <v>1.985088441176471</v>
      </c>
      <c r="AG13" s="45">
        <f t="shared" si="5"/>
        <v>1.985088441176471</v>
      </c>
      <c r="AH13" s="45">
        <f t="shared" si="5"/>
        <v>1.985088441176471</v>
      </c>
      <c r="AI13" s="45">
        <f t="shared" si="5"/>
        <v>1.985088441176471</v>
      </c>
      <c r="AJ13" s="45">
        <f t="shared" si="5"/>
        <v>1.985088441176471</v>
      </c>
      <c r="AK13" s="45">
        <f t="shared" si="5"/>
        <v>1.985088441176471</v>
      </c>
      <c r="AL13" s="45">
        <f t="shared" si="6"/>
        <v>1.985088441176471</v>
      </c>
      <c r="AM13" s="45">
        <f t="shared" si="6"/>
        <v>1.985088441176471</v>
      </c>
      <c r="AN13" s="45">
        <f t="shared" si="6"/>
        <v>1.985088441176471</v>
      </c>
      <c r="AO13" s="45">
        <f t="shared" si="6"/>
        <v>1.985088441176471</v>
      </c>
      <c r="AP13" s="45">
        <f t="shared" si="6"/>
        <v>1.985088441176471</v>
      </c>
      <c r="AQ13" s="45">
        <f t="shared" si="6"/>
        <v>1.985088441176471</v>
      </c>
      <c r="AR13" s="45">
        <f t="shared" si="6"/>
        <v>1.985088441176471</v>
      </c>
      <c r="AS13" s="45">
        <f t="shared" si="6"/>
        <v>1.985088441176471</v>
      </c>
      <c r="AT13" s="45">
        <f t="shared" si="6"/>
        <v>1.985088441176471</v>
      </c>
      <c r="AU13" s="45">
        <f t="shared" si="6"/>
        <v>1.985088441176471</v>
      </c>
      <c r="AV13" s="45">
        <f t="shared" si="7"/>
        <v>1.985088441176471</v>
      </c>
      <c r="AW13" s="45">
        <f t="shared" si="7"/>
        <v>1.985088441176471</v>
      </c>
      <c r="AX13" s="45">
        <f t="shared" si="7"/>
        <v>1.985088441176471</v>
      </c>
      <c r="AY13" s="45">
        <f t="shared" si="7"/>
        <v>1.985088441176471</v>
      </c>
      <c r="AZ13" s="45">
        <f t="shared" si="7"/>
        <v>0</v>
      </c>
      <c r="BA13" s="45">
        <f t="shared" si="7"/>
        <v>0</v>
      </c>
      <c r="BB13" s="45">
        <f t="shared" si="7"/>
        <v>0</v>
      </c>
      <c r="BC13" s="45">
        <f t="shared" si="7"/>
        <v>0</v>
      </c>
      <c r="BD13" s="45">
        <f t="shared" si="7"/>
        <v>0</v>
      </c>
      <c r="BE13" s="45">
        <f t="shared" si="7"/>
        <v>0</v>
      </c>
      <c r="BF13" s="45">
        <f t="shared" si="7"/>
        <v>0</v>
      </c>
      <c r="BG13" s="45">
        <f t="shared" si="7"/>
        <v>0</v>
      </c>
      <c r="BH13" s="45">
        <f t="shared" si="7"/>
        <v>0</v>
      </c>
      <c r="BI13" s="45">
        <f t="shared" si="7"/>
        <v>0</v>
      </c>
      <c r="BJ13" s="45"/>
      <c r="BK13" s="45"/>
      <c r="BM13" s="45">
        <f t="shared" si="8"/>
        <v>0</v>
      </c>
      <c r="BN13" s="45">
        <f t="shared" si="8"/>
        <v>0</v>
      </c>
      <c r="BO13" s="45">
        <f t="shared" si="8"/>
        <v>0</v>
      </c>
      <c r="BP13" s="45">
        <f t="shared" si="8"/>
        <v>0</v>
      </c>
      <c r="BQ13" s="45">
        <f t="shared" si="8"/>
        <v>0</v>
      </c>
      <c r="BR13" s="45">
        <f t="shared" si="8"/>
        <v>0</v>
      </c>
      <c r="BS13" s="45">
        <f t="shared" si="8"/>
        <v>0</v>
      </c>
      <c r="BT13" s="45">
        <f t="shared" si="8"/>
        <v>0</v>
      </c>
      <c r="BU13" s="45">
        <f t="shared" si="8"/>
        <v>0</v>
      </c>
      <c r="BV13" s="45">
        <f t="shared" si="8"/>
        <v>0</v>
      </c>
      <c r="BW13" s="45">
        <f t="shared" si="9"/>
        <v>0</v>
      </c>
      <c r="BX13" s="45">
        <f t="shared" si="9"/>
        <v>0</v>
      </c>
      <c r="BY13" s="45">
        <f t="shared" si="9"/>
        <v>0</v>
      </c>
      <c r="BZ13" s="45">
        <f t="shared" si="9"/>
        <v>0</v>
      </c>
      <c r="CA13" s="45">
        <f t="shared" si="9"/>
        <v>0</v>
      </c>
      <c r="CB13" s="45">
        <f t="shared" si="9"/>
        <v>0</v>
      </c>
      <c r="CC13" s="45">
        <f t="shared" si="9"/>
        <v>0</v>
      </c>
      <c r="CD13" s="45">
        <f t="shared" si="9"/>
        <v>0</v>
      </c>
      <c r="CE13" s="45">
        <f t="shared" si="9"/>
        <v>0</v>
      </c>
      <c r="CF13" s="45">
        <f t="shared" si="9"/>
        <v>0</v>
      </c>
      <c r="CG13" s="45">
        <f t="shared" si="10"/>
        <v>0</v>
      </c>
      <c r="CH13" s="45">
        <f t="shared" si="10"/>
        <v>0</v>
      </c>
      <c r="CI13" s="45">
        <f t="shared" si="10"/>
        <v>0</v>
      </c>
      <c r="CJ13" s="45">
        <f t="shared" si="10"/>
        <v>0</v>
      </c>
      <c r="CK13" s="45">
        <f t="shared" si="10"/>
        <v>0</v>
      </c>
      <c r="CL13" s="45">
        <f t="shared" si="10"/>
        <v>0</v>
      </c>
      <c r="CM13" s="45">
        <f t="shared" si="10"/>
        <v>0</v>
      </c>
      <c r="CN13" s="45">
        <f t="shared" si="10"/>
        <v>0</v>
      </c>
      <c r="CO13" s="45">
        <f t="shared" si="10"/>
        <v>0</v>
      </c>
      <c r="CP13" s="45">
        <f t="shared" si="10"/>
        <v>0</v>
      </c>
      <c r="CQ13" s="45">
        <f t="shared" si="11"/>
        <v>0</v>
      </c>
      <c r="CR13" s="45">
        <f t="shared" si="11"/>
        <v>0</v>
      </c>
      <c r="CS13" s="45">
        <f t="shared" si="11"/>
        <v>0</v>
      </c>
      <c r="CT13" s="45">
        <f t="shared" si="11"/>
        <v>0</v>
      </c>
      <c r="CU13" s="45">
        <f t="shared" si="11"/>
        <v>3.75</v>
      </c>
      <c r="CV13" s="45">
        <f t="shared" si="11"/>
        <v>3.75</v>
      </c>
      <c r="CW13" s="45">
        <f t="shared" si="11"/>
        <v>3.75</v>
      </c>
      <c r="CX13" s="45">
        <f t="shared" si="11"/>
        <v>3.75</v>
      </c>
      <c r="CY13" s="45">
        <f t="shared" si="11"/>
        <v>3.75</v>
      </c>
      <c r="CZ13" s="45">
        <f t="shared" si="11"/>
        <v>3.75</v>
      </c>
      <c r="DA13" s="45">
        <f t="shared" si="11"/>
        <v>3.75</v>
      </c>
      <c r="DB13" s="45">
        <f t="shared" si="11"/>
        <v>3.75</v>
      </c>
      <c r="DC13" s="45">
        <f t="shared" si="11"/>
        <v>3.75</v>
      </c>
      <c r="DD13" s="45">
        <f t="shared" si="11"/>
        <v>3.75</v>
      </c>
      <c r="DF13" s="83">
        <f t="shared" si="12"/>
        <v>0</v>
      </c>
      <c r="DG13" s="83">
        <f t="shared" si="13"/>
        <v>0</v>
      </c>
      <c r="DH13" s="83">
        <f t="shared" si="13"/>
        <v>0</v>
      </c>
      <c r="DI13" s="83">
        <f t="shared" si="13"/>
        <v>0</v>
      </c>
      <c r="DJ13" s="83">
        <f t="shared" si="13"/>
        <v>0</v>
      </c>
      <c r="DK13" s="83">
        <f t="shared" si="13"/>
        <v>0</v>
      </c>
      <c r="DL13" s="83">
        <f t="shared" si="13"/>
        <v>0</v>
      </c>
      <c r="DM13" s="83">
        <f t="shared" si="13"/>
        <v>0</v>
      </c>
      <c r="DN13" s="83">
        <f t="shared" si="13"/>
        <v>0</v>
      </c>
      <c r="DO13" s="83">
        <f t="shared" si="13"/>
        <v>0</v>
      </c>
      <c r="DP13" s="83">
        <f t="shared" si="13"/>
        <v>0</v>
      </c>
      <c r="DQ13" s="83">
        <f t="shared" si="13"/>
        <v>0</v>
      </c>
      <c r="DR13" s="83">
        <f t="shared" si="13"/>
        <v>0</v>
      </c>
      <c r="DS13" s="83">
        <f t="shared" si="13"/>
        <v>0</v>
      </c>
      <c r="DT13" s="83">
        <f t="shared" si="13"/>
        <v>0</v>
      </c>
      <c r="DU13" s="83">
        <f t="shared" si="13"/>
        <v>0</v>
      </c>
      <c r="DV13" s="83">
        <f t="shared" si="13"/>
        <v>0</v>
      </c>
      <c r="DW13" s="83">
        <f t="shared" si="13"/>
        <v>0</v>
      </c>
      <c r="DX13" s="83">
        <f t="shared" si="13"/>
        <v>0</v>
      </c>
      <c r="DY13" s="83">
        <f t="shared" si="13"/>
        <v>0</v>
      </c>
      <c r="DZ13" s="83">
        <f t="shared" si="13"/>
        <v>0</v>
      </c>
      <c r="EA13" s="83">
        <f t="shared" si="13"/>
        <v>0</v>
      </c>
      <c r="EB13" s="83">
        <f t="shared" si="13"/>
        <v>0</v>
      </c>
      <c r="EC13" s="83">
        <f t="shared" si="13"/>
        <v>0</v>
      </c>
      <c r="ED13" s="83">
        <f t="shared" si="13"/>
        <v>0</v>
      </c>
      <c r="EE13" s="83">
        <f t="shared" si="13"/>
        <v>0</v>
      </c>
      <c r="EF13" s="83">
        <f t="shared" si="13"/>
        <v>0</v>
      </c>
      <c r="EG13" s="83">
        <f t="shared" si="13"/>
        <v>0</v>
      </c>
      <c r="EH13" s="83">
        <f t="shared" si="13"/>
        <v>0</v>
      </c>
      <c r="EI13" s="83">
        <f t="shared" si="13"/>
        <v>0</v>
      </c>
      <c r="EJ13" s="83">
        <f t="shared" si="13"/>
        <v>0</v>
      </c>
      <c r="EK13" s="83">
        <f t="shared" si="13"/>
        <v>0</v>
      </c>
      <c r="EL13" s="83">
        <f t="shared" si="13"/>
        <v>0</v>
      </c>
      <c r="EM13" s="83">
        <f t="shared" si="13"/>
        <v>0</v>
      </c>
      <c r="EN13" s="83">
        <f t="shared" si="13"/>
        <v>150</v>
      </c>
      <c r="EO13" s="83">
        <f t="shared" si="13"/>
        <v>0</v>
      </c>
      <c r="EP13" s="83">
        <f t="shared" si="13"/>
        <v>0</v>
      </c>
      <c r="EQ13" s="83">
        <f t="shared" si="13"/>
        <v>0</v>
      </c>
      <c r="ER13" s="83">
        <f t="shared" si="13"/>
        <v>0</v>
      </c>
      <c r="ES13" s="83">
        <f t="shared" si="13"/>
        <v>0</v>
      </c>
      <c r="ET13" s="83">
        <f t="shared" si="13"/>
        <v>0</v>
      </c>
      <c r="EU13" s="83">
        <f t="shared" si="13"/>
        <v>0</v>
      </c>
      <c r="EV13" s="83">
        <f t="shared" si="13"/>
        <v>0</v>
      </c>
      <c r="EW13" s="83">
        <f t="shared" si="13"/>
        <v>0</v>
      </c>
    </row>
    <row r="14" spans="1:153" ht="12.75">
      <c r="A14" s="207">
        <v>4</v>
      </c>
      <c r="B14" s="87" t="s">
        <v>130</v>
      </c>
      <c r="C14" s="208">
        <v>275</v>
      </c>
      <c r="D14" s="192"/>
      <c r="E14" s="262">
        <v>2004</v>
      </c>
      <c r="F14" s="268">
        <v>35</v>
      </c>
      <c r="G14" s="246">
        <f t="shared" si="14"/>
        <v>1100</v>
      </c>
      <c r="H14" s="221">
        <f t="shared" si="0"/>
        <v>180.42750000000004</v>
      </c>
      <c r="I14" s="229">
        <v>100</v>
      </c>
      <c r="J14" s="45">
        <f t="shared" si="15"/>
        <v>100</v>
      </c>
      <c r="K14" s="194">
        <f t="shared" si="1"/>
        <v>31</v>
      </c>
      <c r="L14" s="193">
        <f t="shared" si="16"/>
        <v>3.225806451612903</v>
      </c>
      <c r="M14" s="194">
        <f t="shared" si="2"/>
        <v>31</v>
      </c>
      <c r="N14" s="50">
        <f t="shared" si="17"/>
        <v>100</v>
      </c>
      <c r="O14" s="217">
        <v>300</v>
      </c>
      <c r="P14" s="224">
        <f t="shared" si="3"/>
        <v>2039</v>
      </c>
      <c r="Q14" s="228">
        <f t="shared" si="18"/>
        <v>8525</v>
      </c>
      <c r="R14" s="45">
        <f t="shared" si="4"/>
        <v>3.225806451612903</v>
      </c>
      <c r="S14" s="45">
        <f t="shared" si="4"/>
        <v>3.225806451612903</v>
      </c>
      <c r="T14" s="45">
        <f t="shared" si="4"/>
        <v>3.225806451612903</v>
      </c>
      <c r="U14" s="45">
        <f t="shared" si="4"/>
        <v>3.225806451612903</v>
      </c>
      <c r="V14" s="45">
        <f t="shared" si="4"/>
        <v>3.225806451612903</v>
      </c>
      <c r="W14" s="45">
        <f t="shared" si="4"/>
        <v>3.225806451612903</v>
      </c>
      <c r="X14" s="45">
        <f t="shared" si="4"/>
        <v>3.225806451612903</v>
      </c>
      <c r="Y14" s="45">
        <f t="shared" si="4"/>
        <v>3.225806451612903</v>
      </c>
      <c r="Z14" s="45">
        <f t="shared" si="4"/>
        <v>3.225806451612903</v>
      </c>
      <c r="AA14" s="45">
        <f t="shared" si="4"/>
        <v>3.225806451612903</v>
      </c>
      <c r="AB14" s="45">
        <f t="shared" si="5"/>
        <v>3.225806451612903</v>
      </c>
      <c r="AC14" s="45">
        <f t="shared" si="5"/>
        <v>3.225806451612903</v>
      </c>
      <c r="AD14" s="45">
        <f t="shared" si="5"/>
        <v>3.225806451612903</v>
      </c>
      <c r="AE14" s="45">
        <f t="shared" si="5"/>
        <v>3.225806451612903</v>
      </c>
      <c r="AF14" s="45">
        <f t="shared" si="5"/>
        <v>3.225806451612903</v>
      </c>
      <c r="AG14" s="45">
        <f t="shared" si="5"/>
        <v>3.225806451612903</v>
      </c>
      <c r="AH14" s="45">
        <f t="shared" si="5"/>
        <v>3.225806451612903</v>
      </c>
      <c r="AI14" s="45">
        <f t="shared" si="5"/>
        <v>3.225806451612903</v>
      </c>
      <c r="AJ14" s="45">
        <f t="shared" si="5"/>
        <v>3.225806451612903</v>
      </c>
      <c r="AK14" s="45">
        <f t="shared" si="5"/>
        <v>3.225806451612903</v>
      </c>
      <c r="AL14" s="45">
        <f t="shared" si="6"/>
        <v>3.225806451612903</v>
      </c>
      <c r="AM14" s="45">
        <f t="shared" si="6"/>
        <v>3.225806451612903</v>
      </c>
      <c r="AN14" s="45">
        <f t="shared" si="6"/>
        <v>3.225806451612903</v>
      </c>
      <c r="AO14" s="45">
        <f t="shared" si="6"/>
        <v>3.225806451612903</v>
      </c>
      <c r="AP14" s="45">
        <f t="shared" si="6"/>
        <v>3.225806451612903</v>
      </c>
      <c r="AQ14" s="45">
        <f t="shared" si="6"/>
        <v>3.225806451612903</v>
      </c>
      <c r="AR14" s="45">
        <f t="shared" si="6"/>
        <v>3.225806451612903</v>
      </c>
      <c r="AS14" s="45">
        <f t="shared" si="6"/>
        <v>3.225806451612903</v>
      </c>
      <c r="AT14" s="45">
        <f t="shared" si="6"/>
        <v>3.225806451612903</v>
      </c>
      <c r="AU14" s="45">
        <f t="shared" si="6"/>
        <v>3.225806451612903</v>
      </c>
      <c r="AV14" s="45">
        <f t="shared" si="7"/>
        <v>3.225806451612903</v>
      </c>
      <c r="AW14" s="45">
        <f t="shared" si="7"/>
        <v>0</v>
      </c>
      <c r="AX14" s="45">
        <f t="shared" si="7"/>
        <v>0</v>
      </c>
      <c r="AY14" s="45">
        <f t="shared" si="7"/>
        <v>0</v>
      </c>
      <c r="AZ14" s="45">
        <f t="shared" si="7"/>
        <v>0</v>
      </c>
      <c r="BA14" s="45">
        <f t="shared" si="7"/>
        <v>0</v>
      </c>
      <c r="BB14" s="45">
        <f t="shared" si="7"/>
        <v>0</v>
      </c>
      <c r="BC14" s="45">
        <f t="shared" si="7"/>
        <v>0</v>
      </c>
      <c r="BD14" s="45">
        <f t="shared" si="7"/>
        <v>0</v>
      </c>
      <c r="BE14" s="45">
        <f t="shared" si="7"/>
        <v>0</v>
      </c>
      <c r="BF14" s="45">
        <f t="shared" si="7"/>
        <v>0</v>
      </c>
      <c r="BG14" s="45">
        <f t="shared" si="7"/>
        <v>0</v>
      </c>
      <c r="BH14" s="45">
        <f t="shared" si="7"/>
        <v>0</v>
      </c>
      <c r="BI14" s="45">
        <f t="shared" si="7"/>
        <v>0</v>
      </c>
      <c r="BJ14" s="45"/>
      <c r="BK14" s="45"/>
      <c r="BM14" s="45">
        <f t="shared" si="8"/>
        <v>0</v>
      </c>
      <c r="BN14" s="45">
        <f t="shared" si="8"/>
        <v>0</v>
      </c>
      <c r="BO14" s="45">
        <f t="shared" si="8"/>
        <v>0</v>
      </c>
      <c r="BP14" s="45">
        <f t="shared" si="8"/>
        <v>0</v>
      </c>
      <c r="BQ14" s="45">
        <f t="shared" si="8"/>
        <v>0</v>
      </c>
      <c r="BR14" s="45">
        <f t="shared" si="8"/>
        <v>0</v>
      </c>
      <c r="BS14" s="45">
        <f t="shared" si="8"/>
        <v>0</v>
      </c>
      <c r="BT14" s="45">
        <f t="shared" si="8"/>
        <v>0</v>
      </c>
      <c r="BU14" s="45">
        <f t="shared" si="8"/>
        <v>0</v>
      </c>
      <c r="BV14" s="45">
        <f t="shared" si="8"/>
        <v>0</v>
      </c>
      <c r="BW14" s="45">
        <f t="shared" si="9"/>
        <v>0</v>
      </c>
      <c r="BX14" s="45">
        <f t="shared" si="9"/>
        <v>0</v>
      </c>
      <c r="BY14" s="45">
        <f t="shared" si="9"/>
        <v>0</v>
      </c>
      <c r="BZ14" s="45">
        <f t="shared" si="9"/>
        <v>0</v>
      </c>
      <c r="CA14" s="45">
        <f t="shared" si="9"/>
        <v>0</v>
      </c>
      <c r="CB14" s="45">
        <f t="shared" si="9"/>
        <v>0</v>
      </c>
      <c r="CC14" s="45">
        <f t="shared" si="9"/>
        <v>0</v>
      </c>
      <c r="CD14" s="45">
        <f t="shared" si="9"/>
        <v>0</v>
      </c>
      <c r="CE14" s="45">
        <f t="shared" si="9"/>
        <v>0</v>
      </c>
      <c r="CF14" s="45">
        <f t="shared" si="9"/>
        <v>0</v>
      </c>
      <c r="CG14" s="45">
        <f t="shared" si="10"/>
        <v>0</v>
      </c>
      <c r="CH14" s="45">
        <f t="shared" si="10"/>
        <v>0</v>
      </c>
      <c r="CI14" s="45">
        <f t="shared" si="10"/>
        <v>0</v>
      </c>
      <c r="CJ14" s="45">
        <f t="shared" si="10"/>
        <v>0</v>
      </c>
      <c r="CK14" s="45">
        <f t="shared" si="10"/>
        <v>0</v>
      </c>
      <c r="CL14" s="45">
        <f t="shared" si="10"/>
        <v>0</v>
      </c>
      <c r="CM14" s="45">
        <f t="shared" si="10"/>
        <v>0</v>
      </c>
      <c r="CN14" s="45">
        <f t="shared" si="10"/>
        <v>0</v>
      </c>
      <c r="CO14" s="45">
        <f t="shared" si="10"/>
        <v>0</v>
      </c>
      <c r="CP14" s="45">
        <f t="shared" si="10"/>
        <v>0</v>
      </c>
      <c r="CQ14" s="45">
        <f t="shared" si="11"/>
        <v>0</v>
      </c>
      <c r="CR14" s="45">
        <f t="shared" si="11"/>
        <v>8.571428571428571</v>
      </c>
      <c r="CS14" s="45">
        <f t="shared" si="11"/>
        <v>8.571428571428571</v>
      </c>
      <c r="CT14" s="45">
        <f t="shared" si="11"/>
        <v>8.571428571428571</v>
      </c>
      <c r="CU14" s="45">
        <f t="shared" si="11"/>
        <v>8.571428571428571</v>
      </c>
      <c r="CV14" s="45">
        <f t="shared" si="11"/>
        <v>8.571428571428571</v>
      </c>
      <c r="CW14" s="45">
        <f t="shared" si="11"/>
        <v>8.571428571428571</v>
      </c>
      <c r="CX14" s="45">
        <f t="shared" si="11"/>
        <v>8.571428571428571</v>
      </c>
      <c r="CY14" s="45">
        <f t="shared" si="11"/>
        <v>8.571428571428571</v>
      </c>
      <c r="CZ14" s="45">
        <f t="shared" si="11"/>
        <v>8.571428571428571</v>
      </c>
      <c r="DA14" s="45">
        <f t="shared" si="11"/>
        <v>8.571428571428571</v>
      </c>
      <c r="DB14" s="45">
        <f t="shared" si="11"/>
        <v>8.571428571428571</v>
      </c>
      <c r="DC14" s="45">
        <f t="shared" si="11"/>
        <v>8.571428571428571</v>
      </c>
      <c r="DD14" s="45">
        <f t="shared" si="11"/>
        <v>8.571428571428571</v>
      </c>
      <c r="DF14" s="83">
        <f t="shared" si="12"/>
        <v>0</v>
      </c>
      <c r="DG14" s="83">
        <f t="shared" si="13"/>
        <v>0</v>
      </c>
      <c r="DH14" s="83">
        <f t="shared" si="13"/>
        <v>0</v>
      </c>
      <c r="DI14" s="83">
        <f t="shared" si="13"/>
        <v>0</v>
      </c>
      <c r="DJ14" s="83">
        <f t="shared" si="13"/>
        <v>0</v>
      </c>
      <c r="DK14" s="83">
        <f t="shared" si="13"/>
        <v>0</v>
      </c>
      <c r="DL14" s="83">
        <f t="shared" si="13"/>
        <v>0</v>
      </c>
      <c r="DM14" s="83">
        <f t="shared" si="13"/>
        <v>0</v>
      </c>
      <c r="DN14" s="83">
        <f t="shared" si="13"/>
        <v>0</v>
      </c>
      <c r="DO14" s="83">
        <f t="shared" si="13"/>
        <v>0</v>
      </c>
      <c r="DP14" s="83">
        <f t="shared" si="13"/>
        <v>0</v>
      </c>
      <c r="DQ14" s="83">
        <f t="shared" si="13"/>
        <v>0</v>
      </c>
      <c r="DR14" s="83">
        <f t="shared" si="13"/>
        <v>0</v>
      </c>
      <c r="DS14" s="83">
        <f t="shared" si="13"/>
        <v>0</v>
      </c>
      <c r="DT14" s="83">
        <f t="shared" si="13"/>
        <v>0</v>
      </c>
      <c r="DU14" s="83">
        <f t="shared" si="13"/>
        <v>0</v>
      </c>
      <c r="DV14" s="83">
        <f t="shared" si="13"/>
        <v>0</v>
      </c>
      <c r="DW14" s="83">
        <f t="shared" si="13"/>
        <v>0</v>
      </c>
      <c r="DX14" s="83">
        <f t="shared" si="13"/>
        <v>0</v>
      </c>
      <c r="DY14" s="83">
        <f t="shared" si="13"/>
        <v>0</v>
      </c>
      <c r="DZ14" s="83">
        <f t="shared" si="13"/>
        <v>0</v>
      </c>
      <c r="EA14" s="83">
        <f t="shared" si="13"/>
        <v>0</v>
      </c>
      <c r="EB14" s="83">
        <f t="shared" si="13"/>
        <v>0</v>
      </c>
      <c r="EC14" s="83">
        <f t="shared" si="13"/>
        <v>0</v>
      </c>
      <c r="ED14" s="83">
        <f t="shared" si="13"/>
        <v>0</v>
      </c>
      <c r="EE14" s="83">
        <f t="shared" si="13"/>
        <v>0</v>
      </c>
      <c r="EF14" s="83">
        <f t="shared" si="13"/>
        <v>0</v>
      </c>
      <c r="EG14" s="83">
        <f t="shared" si="13"/>
        <v>0</v>
      </c>
      <c r="EH14" s="83">
        <f t="shared" si="13"/>
        <v>0</v>
      </c>
      <c r="EI14" s="83">
        <f t="shared" si="13"/>
        <v>0</v>
      </c>
      <c r="EJ14" s="83">
        <f t="shared" si="13"/>
        <v>0</v>
      </c>
      <c r="EK14" s="83">
        <f t="shared" si="13"/>
        <v>300</v>
      </c>
      <c r="EL14" s="83">
        <f t="shared" si="13"/>
        <v>0</v>
      </c>
      <c r="EM14" s="83">
        <f t="shared" si="13"/>
        <v>0</v>
      </c>
      <c r="EN14" s="83">
        <f t="shared" si="13"/>
        <v>0</v>
      </c>
      <c r="EO14" s="83">
        <f t="shared" si="13"/>
        <v>0</v>
      </c>
      <c r="EP14" s="83">
        <f t="shared" si="13"/>
        <v>0</v>
      </c>
      <c r="EQ14" s="83">
        <f t="shared" si="13"/>
        <v>0</v>
      </c>
      <c r="ER14" s="83">
        <f t="shared" si="13"/>
        <v>0</v>
      </c>
      <c r="ES14" s="83">
        <f t="shared" si="13"/>
        <v>0</v>
      </c>
      <c r="ET14" s="83">
        <f t="shared" si="13"/>
        <v>0</v>
      </c>
      <c r="EU14" s="83">
        <f t="shared" si="13"/>
        <v>0</v>
      </c>
      <c r="EV14" s="83">
        <f t="shared" si="13"/>
        <v>0</v>
      </c>
      <c r="EW14" s="83">
        <f t="shared" si="13"/>
        <v>0</v>
      </c>
    </row>
    <row r="15" spans="1:153" ht="12.75" outlineLevel="1">
      <c r="A15" s="207">
        <v>5</v>
      </c>
      <c r="B15" s="87" t="s">
        <v>131</v>
      </c>
      <c r="C15" s="208">
        <v>184</v>
      </c>
      <c r="D15" s="192"/>
      <c r="E15" s="262">
        <v>2004</v>
      </c>
      <c r="F15" s="268">
        <v>15</v>
      </c>
      <c r="G15" s="246">
        <f t="shared" si="14"/>
        <v>736</v>
      </c>
      <c r="H15" s="221">
        <f t="shared" si="0"/>
        <v>120.72240000000002</v>
      </c>
      <c r="I15" s="229">
        <v>20</v>
      </c>
      <c r="J15" s="45">
        <f t="shared" si="15"/>
        <v>20</v>
      </c>
      <c r="K15" s="194">
        <f t="shared" si="1"/>
        <v>11</v>
      </c>
      <c r="L15" s="193">
        <f t="shared" si="16"/>
        <v>1.8181818181818181</v>
      </c>
      <c r="M15" s="194">
        <f t="shared" si="2"/>
        <v>11</v>
      </c>
      <c r="N15" s="50">
        <f t="shared" si="17"/>
        <v>20</v>
      </c>
      <c r="O15" s="217">
        <v>185</v>
      </c>
      <c r="P15" s="224">
        <f t="shared" si="3"/>
        <v>2019</v>
      </c>
      <c r="Q15" s="228">
        <f t="shared" si="18"/>
        <v>2024</v>
      </c>
      <c r="R15" s="45">
        <f t="shared" si="4"/>
        <v>1.8181818181818181</v>
      </c>
      <c r="S15" s="45">
        <f t="shared" si="4"/>
        <v>1.8181818181818181</v>
      </c>
      <c r="T15" s="45">
        <f t="shared" si="4"/>
        <v>1.8181818181818181</v>
      </c>
      <c r="U15" s="45">
        <f t="shared" si="4"/>
        <v>1.8181818181818181</v>
      </c>
      <c r="V15" s="45">
        <f t="shared" si="4"/>
        <v>1.8181818181818181</v>
      </c>
      <c r="W15" s="45">
        <f t="shared" si="4"/>
        <v>1.8181818181818181</v>
      </c>
      <c r="X15" s="45">
        <f t="shared" si="4"/>
        <v>1.8181818181818181</v>
      </c>
      <c r="Y15" s="45">
        <f t="shared" si="4"/>
        <v>1.8181818181818181</v>
      </c>
      <c r="Z15" s="45">
        <f t="shared" si="4"/>
        <v>1.8181818181818181</v>
      </c>
      <c r="AA15" s="45">
        <f t="shared" si="4"/>
        <v>1.8181818181818181</v>
      </c>
      <c r="AB15" s="45">
        <f t="shared" si="5"/>
        <v>1.8181818181818181</v>
      </c>
      <c r="AC15" s="45">
        <f t="shared" si="5"/>
        <v>0</v>
      </c>
      <c r="AD15" s="45">
        <f t="shared" si="5"/>
        <v>0</v>
      </c>
      <c r="AE15" s="45">
        <f t="shared" si="5"/>
        <v>0</v>
      </c>
      <c r="AF15" s="45">
        <f t="shared" si="5"/>
        <v>0</v>
      </c>
      <c r="AG15" s="45">
        <f t="shared" si="5"/>
        <v>0</v>
      </c>
      <c r="AH15" s="45">
        <f t="shared" si="5"/>
        <v>0</v>
      </c>
      <c r="AI15" s="45">
        <f t="shared" si="5"/>
        <v>0</v>
      </c>
      <c r="AJ15" s="45">
        <f t="shared" si="5"/>
        <v>0</v>
      </c>
      <c r="AK15" s="45">
        <f t="shared" si="5"/>
        <v>0</v>
      </c>
      <c r="AL15" s="45">
        <f t="shared" si="6"/>
        <v>0</v>
      </c>
      <c r="AM15" s="45">
        <f t="shared" si="6"/>
        <v>0</v>
      </c>
      <c r="AN15" s="45">
        <f t="shared" si="6"/>
        <v>0</v>
      </c>
      <c r="AO15" s="45">
        <f t="shared" si="6"/>
        <v>0</v>
      </c>
      <c r="AP15" s="45">
        <f t="shared" si="6"/>
        <v>0</v>
      </c>
      <c r="AQ15" s="45">
        <f t="shared" si="6"/>
        <v>0</v>
      </c>
      <c r="AR15" s="45">
        <f t="shared" si="6"/>
        <v>0</v>
      </c>
      <c r="AS15" s="45">
        <f t="shared" si="6"/>
        <v>0</v>
      </c>
      <c r="AT15" s="45">
        <f t="shared" si="6"/>
        <v>0</v>
      </c>
      <c r="AU15" s="45">
        <f t="shared" si="6"/>
        <v>0</v>
      </c>
      <c r="AV15" s="45">
        <f t="shared" si="7"/>
        <v>0</v>
      </c>
      <c r="AW15" s="45">
        <f t="shared" si="7"/>
        <v>0</v>
      </c>
      <c r="AX15" s="45">
        <f t="shared" si="7"/>
        <v>0</v>
      </c>
      <c r="AY15" s="45">
        <f t="shared" si="7"/>
        <v>0</v>
      </c>
      <c r="AZ15" s="45">
        <f t="shared" si="7"/>
        <v>0</v>
      </c>
      <c r="BA15" s="45">
        <f t="shared" si="7"/>
        <v>0</v>
      </c>
      <c r="BB15" s="45">
        <f t="shared" si="7"/>
        <v>0</v>
      </c>
      <c r="BC15" s="45">
        <f t="shared" si="7"/>
        <v>0</v>
      </c>
      <c r="BD15" s="45">
        <f t="shared" si="7"/>
        <v>0</v>
      </c>
      <c r="BE15" s="45">
        <f t="shared" si="7"/>
        <v>0</v>
      </c>
      <c r="BF15" s="45">
        <f t="shared" si="7"/>
        <v>0</v>
      </c>
      <c r="BG15" s="45">
        <f t="shared" si="7"/>
        <v>0</v>
      </c>
      <c r="BH15" s="45">
        <f t="shared" si="7"/>
        <v>0</v>
      </c>
      <c r="BI15" s="45">
        <f t="shared" si="7"/>
        <v>0</v>
      </c>
      <c r="BJ15" s="45"/>
      <c r="BK15" s="45"/>
      <c r="BM15" s="45">
        <f t="shared" si="8"/>
        <v>0</v>
      </c>
      <c r="BN15" s="45">
        <f t="shared" si="8"/>
        <v>0</v>
      </c>
      <c r="BO15" s="45">
        <f t="shared" si="8"/>
        <v>0</v>
      </c>
      <c r="BP15" s="45">
        <f t="shared" si="8"/>
        <v>0</v>
      </c>
      <c r="BQ15" s="45">
        <f t="shared" si="8"/>
        <v>0</v>
      </c>
      <c r="BR15" s="45">
        <f t="shared" si="8"/>
        <v>0</v>
      </c>
      <c r="BS15" s="45">
        <f t="shared" si="8"/>
        <v>0</v>
      </c>
      <c r="BT15" s="45">
        <f t="shared" si="8"/>
        <v>0</v>
      </c>
      <c r="BU15" s="45">
        <f t="shared" si="8"/>
        <v>0</v>
      </c>
      <c r="BV15" s="45">
        <f t="shared" si="8"/>
        <v>0</v>
      </c>
      <c r="BW15" s="45">
        <f t="shared" si="9"/>
        <v>0</v>
      </c>
      <c r="BX15" s="45">
        <f t="shared" si="9"/>
        <v>12.333333333333334</v>
      </c>
      <c r="BY15" s="45">
        <f t="shared" si="9"/>
        <v>12.333333333333334</v>
      </c>
      <c r="BZ15" s="45">
        <f t="shared" si="9"/>
        <v>12.333333333333334</v>
      </c>
      <c r="CA15" s="45">
        <f t="shared" si="9"/>
        <v>12.333333333333334</v>
      </c>
      <c r="CB15" s="45">
        <f t="shared" si="9"/>
        <v>12.333333333333334</v>
      </c>
      <c r="CC15" s="45">
        <f t="shared" si="9"/>
        <v>12.333333333333334</v>
      </c>
      <c r="CD15" s="45">
        <f t="shared" si="9"/>
        <v>12.333333333333334</v>
      </c>
      <c r="CE15" s="45">
        <f t="shared" si="9"/>
        <v>12.333333333333334</v>
      </c>
      <c r="CF15" s="45">
        <f t="shared" si="9"/>
        <v>12.333333333333334</v>
      </c>
      <c r="CG15" s="45">
        <f t="shared" si="10"/>
        <v>12.333333333333334</v>
      </c>
      <c r="CH15" s="45">
        <f t="shared" si="10"/>
        <v>12.333333333333334</v>
      </c>
      <c r="CI15" s="45">
        <f t="shared" si="10"/>
        <v>12.333333333333334</v>
      </c>
      <c r="CJ15" s="45">
        <f t="shared" si="10"/>
        <v>12.333333333333334</v>
      </c>
      <c r="CK15" s="45">
        <f t="shared" si="10"/>
        <v>12.333333333333334</v>
      </c>
      <c r="CL15" s="45">
        <f t="shared" si="10"/>
        <v>12.333333333333334</v>
      </c>
      <c r="CM15" s="45">
        <f t="shared" si="10"/>
        <v>0</v>
      </c>
      <c r="CN15" s="45">
        <f t="shared" si="10"/>
        <v>0</v>
      </c>
      <c r="CO15" s="45">
        <f t="shared" si="10"/>
        <v>0</v>
      </c>
      <c r="CP15" s="45">
        <f t="shared" si="10"/>
        <v>0</v>
      </c>
      <c r="CQ15" s="45">
        <f t="shared" si="11"/>
        <v>0</v>
      </c>
      <c r="CR15" s="45">
        <f t="shared" si="11"/>
        <v>0</v>
      </c>
      <c r="CS15" s="45">
        <f t="shared" si="11"/>
        <v>0</v>
      </c>
      <c r="CT15" s="45">
        <f t="shared" si="11"/>
        <v>0</v>
      </c>
      <c r="CU15" s="45">
        <f t="shared" si="11"/>
        <v>0</v>
      </c>
      <c r="CV15" s="45">
        <f t="shared" si="11"/>
        <v>0</v>
      </c>
      <c r="CW15" s="45">
        <f t="shared" si="11"/>
        <v>0</v>
      </c>
      <c r="CX15" s="45">
        <f t="shared" si="11"/>
        <v>0</v>
      </c>
      <c r="CY15" s="45">
        <f t="shared" si="11"/>
        <v>0</v>
      </c>
      <c r="CZ15" s="45">
        <f t="shared" si="11"/>
        <v>0</v>
      </c>
      <c r="DA15" s="45">
        <f t="shared" si="11"/>
        <v>0</v>
      </c>
      <c r="DB15" s="45">
        <f t="shared" si="11"/>
        <v>0</v>
      </c>
      <c r="DC15" s="45">
        <f t="shared" si="11"/>
        <v>0</v>
      </c>
      <c r="DD15" s="45">
        <f t="shared" si="11"/>
        <v>0</v>
      </c>
      <c r="DF15" s="83">
        <f t="shared" si="12"/>
        <v>0</v>
      </c>
      <c r="DG15" s="83">
        <f t="shared" si="13"/>
        <v>0</v>
      </c>
      <c r="DH15" s="83">
        <f t="shared" si="13"/>
        <v>0</v>
      </c>
      <c r="DI15" s="83">
        <f t="shared" si="13"/>
        <v>0</v>
      </c>
      <c r="DJ15" s="83">
        <f t="shared" si="13"/>
        <v>0</v>
      </c>
      <c r="DK15" s="83">
        <f t="shared" si="13"/>
        <v>0</v>
      </c>
      <c r="DL15" s="83">
        <f t="shared" si="13"/>
        <v>0</v>
      </c>
      <c r="DM15" s="83">
        <f t="shared" si="13"/>
        <v>0</v>
      </c>
      <c r="DN15" s="83">
        <f t="shared" si="13"/>
        <v>0</v>
      </c>
      <c r="DO15" s="83">
        <f t="shared" si="13"/>
        <v>0</v>
      </c>
      <c r="DP15" s="83">
        <f t="shared" si="13"/>
        <v>0</v>
      </c>
      <c r="DQ15" s="83">
        <f t="shared" si="13"/>
        <v>185</v>
      </c>
      <c r="DR15" s="83">
        <f t="shared" si="13"/>
        <v>0</v>
      </c>
      <c r="DS15" s="83">
        <f t="shared" si="13"/>
        <v>0</v>
      </c>
      <c r="DT15" s="83">
        <f t="shared" si="13"/>
        <v>0</v>
      </c>
      <c r="DU15" s="83">
        <f t="shared" si="13"/>
        <v>0</v>
      </c>
      <c r="DV15" s="83">
        <f t="shared" si="13"/>
        <v>0</v>
      </c>
      <c r="DW15" s="83">
        <f t="shared" si="13"/>
        <v>0</v>
      </c>
      <c r="DX15" s="83">
        <f t="shared" si="13"/>
        <v>0</v>
      </c>
      <c r="DY15" s="83">
        <f t="shared" si="13"/>
        <v>0</v>
      </c>
      <c r="DZ15" s="83">
        <f t="shared" si="13"/>
        <v>0</v>
      </c>
      <c r="EA15" s="83">
        <f t="shared" si="13"/>
        <v>0</v>
      </c>
      <c r="EB15" s="83">
        <f t="shared" si="13"/>
        <v>0</v>
      </c>
      <c r="EC15" s="83">
        <f t="shared" si="13"/>
        <v>0</v>
      </c>
      <c r="ED15" s="83">
        <f t="shared" si="13"/>
        <v>0</v>
      </c>
      <c r="EE15" s="83">
        <f t="shared" si="13"/>
        <v>0</v>
      </c>
      <c r="EF15" s="83">
        <f t="shared" si="13"/>
        <v>0</v>
      </c>
      <c r="EG15" s="83">
        <f t="shared" si="13"/>
        <v>0</v>
      </c>
      <c r="EH15" s="83">
        <f t="shared" si="13"/>
        <v>0</v>
      </c>
      <c r="EI15" s="83">
        <f t="shared" si="13"/>
        <v>0</v>
      </c>
      <c r="EJ15" s="83">
        <f t="shared" si="13"/>
        <v>0</v>
      </c>
      <c r="EK15" s="83">
        <f t="shared" si="13"/>
        <v>0</v>
      </c>
      <c r="EL15" s="83">
        <f t="shared" si="13"/>
        <v>0</v>
      </c>
      <c r="EM15" s="83">
        <f t="shared" si="13"/>
        <v>0</v>
      </c>
      <c r="EN15" s="83">
        <f t="shared" si="13"/>
        <v>0</v>
      </c>
      <c r="EO15" s="83">
        <f t="shared" si="13"/>
        <v>0</v>
      </c>
      <c r="EP15" s="83">
        <f t="shared" si="13"/>
        <v>0</v>
      </c>
      <c r="EQ15" s="83">
        <f t="shared" si="13"/>
        <v>0</v>
      </c>
      <c r="ER15" s="83">
        <f t="shared" si="13"/>
        <v>0</v>
      </c>
      <c r="ES15" s="83">
        <f t="shared" si="13"/>
        <v>0</v>
      </c>
      <c r="ET15" s="83">
        <f t="shared" si="13"/>
        <v>0</v>
      </c>
      <c r="EU15" s="83">
        <f t="shared" si="13"/>
        <v>0</v>
      </c>
      <c r="EV15" s="83">
        <f t="shared" si="13"/>
        <v>0</v>
      </c>
      <c r="EW15" s="83">
        <f t="shared" si="13"/>
        <v>0</v>
      </c>
    </row>
    <row r="16" spans="1:153" ht="12.75" outlineLevel="1">
      <c r="A16" s="207">
        <v>6</v>
      </c>
      <c r="B16" s="87" t="s">
        <v>132</v>
      </c>
      <c r="C16" s="208">
        <v>27</v>
      </c>
      <c r="D16" s="192"/>
      <c r="E16" s="262">
        <v>2004</v>
      </c>
      <c r="F16" s="268">
        <v>40</v>
      </c>
      <c r="G16" s="246">
        <f t="shared" si="14"/>
        <v>108</v>
      </c>
      <c r="H16" s="221">
        <f t="shared" si="0"/>
        <v>17.714700000000004</v>
      </c>
      <c r="I16" s="229"/>
      <c r="J16" s="45">
        <f t="shared" si="15"/>
        <v>17.714700000000004</v>
      </c>
      <c r="K16" s="194">
        <f t="shared" si="1"/>
        <v>36</v>
      </c>
      <c r="L16" s="193">
        <f t="shared" si="16"/>
        <v>0.4920750000000001</v>
      </c>
      <c r="M16" s="194">
        <f t="shared" si="2"/>
        <v>36</v>
      </c>
      <c r="N16" s="50">
        <f t="shared" si="17"/>
        <v>17.714700000000004</v>
      </c>
      <c r="O16" s="217">
        <v>40</v>
      </c>
      <c r="P16" s="224">
        <f t="shared" si="3"/>
        <v>2044</v>
      </c>
      <c r="Q16" s="228">
        <f t="shared" si="18"/>
        <v>972</v>
      </c>
      <c r="R16" s="45">
        <f t="shared" si="4"/>
        <v>0.4920750000000001</v>
      </c>
      <c r="S16" s="45">
        <f t="shared" si="4"/>
        <v>0.4920750000000001</v>
      </c>
      <c r="T16" s="45">
        <f t="shared" si="4"/>
        <v>0.4920750000000001</v>
      </c>
      <c r="U16" s="45">
        <f t="shared" si="4"/>
        <v>0.4920750000000001</v>
      </c>
      <c r="V16" s="45">
        <f t="shared" si="4"/>
        <v>0.4920750000000001</v>
      </c>
      <c r="W16" s="45">
        <f t="shared" si="4"/>
        <v>0.4920750000000001</v>
      </c>
      <c r="X16" s="45">
        <f t="shared" si="4"/>
        <v>0.4920750000000001</v>
      </c>
      <c r="Y16" s="45">
        <f t="shared" si="4"/>
        <v>0.4920750000000001</v>
      </c>
      <c r="Z16" s="45">
        <f t="shared" si="4"/>
        <v>0.4920750000000001</v>
      </c>
      <c r="AA16" s="45">
        <f t="shared" si="4"/>
        <v>0.4920750000000001</v>
      </c>
      <c r="AB16" s="45">
        <f t="shared" si="5"/>
        <v>0.4920750000000001</v>
      </c>
      <c r="AC16" s="45">
        <f t="shared" si="5"/>
        <v>0.4920750000000001</v>
      </c>
      <c r="AD16" s="45">
        <f t="shared" si="5"/>
        <v>0.4920750000000001</v>
      </c>
      <c r="AE16" s="45">
        <f t="shared" si="5"/>
        <v>0.4920750000000001</v>
      </c>
      <c r="AF16" s="45">
        <f t="shared" si="5"/>
        <v>0.4920750000000001</v>
      </c>
      <c r="AG16" s="45">
        <f t="shared" si="5"/>
        <v>0.4920750000000001</v>
      </c>
      <c r="AH16" s="45">
        <f t="shared" si="5"/>
        <v>0.4920750000000001</v>
      </c>
      <c r="AI16" s="45">
        <f t="shared" si="5"/>
        <v>0.4920750000000001</v>
      </c>
      <c r="AJ16" s="45">
        <f t="shared" si="5"/>
        <v>0.4920750000000001</v>
      </c>
      <c r="AK16" s="45">
        <f t="shared" si="5"/>
        <v>0.4920750000000001</v>
      </c>
      <c r="AL16" s="45">
        <f t="shared" si="6"/>
        <v>0.4920750000000001</v>
      </c>
      <c r="AM16" s="45">
        <f t="shared" si="6"/>
        <v>0.4920750000000001</v>
      </c>
      <c r="AN16" s="45">
        <f t="shared" si="6"/>
        <v>0.4920750000000001</v>
      </c>
      <c r="AO16" s="45">
        <f t="shared" si="6"/>
        <v>0.4920750000000001</v>
      </c>
      <c r="AP16" s="45">
        <f t="shared" si="6"/>
        <v>0.4920750000000001</v>
      </c>
      <c r="AQ16" s="45">
        <f t="shared" si="6"/>
        <v>0.4920750000000001</v>
      </c>
      <c r="AR16" s="45">
        <f t="shared" si="6"/>
        <v>0.4920750000000001</v>
      </c>
      <c r="AS16" s="45">
        <f t="shared" si="6"/>
        <v>0.4920750000000001</v>
      </c>
      <c r="AT16" s="45">
        <f t="shared" si="6"/>
        <v>0.4920750000000001</v>
      </c>
      <c r="AU16" s="45">
        <f t="shared" si="6"/>
        <v>0.4920750000000001</v>
      </c>
      <c r="AV16" s="45">
        <f t="shared" si="7"/>
        <v>0.4920750000000001</v>
      </c>
      <c r="AW16" s="45">
        <f t="shared" si="7"/>
        <v>0.4920750000000001</v>
      </c>
      <c r="AX16" s="45">
        <f t="shared" si="7"/>
        <v>0.4920750000000001</v>
      </c>
      <c r="AY16" s="45">
        <f t="shared" si="7"/>
        <v>0.4920750000000001</v>
      </c>
      <c r="AZ16" s="45">
        <f t="shared" si="7"/>
        <v>0.4920750000000001</v>
      </c>
      <c r="BA16" s="45">
        <f t="shared" si="7"/>
        <v>0.4920750000000001</v>
      </c>
      <c r="BB16" s="45">
        <f t="shared" si="7"/>
        <v>0</v>
      </c>
      <c r="BC16" s="45">
        <f t="shared" si="7"/>
        <v>0</v>
      </c>
      <c r="BD16" s="45">
        <f t="shared" si="7"/>
        <v>0</v>
      </c>
      <c r="BE16" s="45">
        <f t="shared" si="7"/>
        <v>0</v>
      </c>
      <c r="BF16" s="45">
        <f t="shared" si="7"/>
        <v>0</v>
      </c>
      <c r="BG16" s="45">
        <f t="shared" si="7"/>
        <v>0</v>
      </c>
      <c r="BH16" s="45">
        <f t="shared" si="7"/>
        <v>0</v>
      </c>
      <c r="BI16" s="45">
        <f t="shared" si="7"/>
        <v>0</v>
      </c>
      <c r="BJ16" s="45"/>
      <c r="BK16" s="45"/>
      <c r="BM16" s="45">
        <f t="shared" si="8"/>
        <v>0</v>
      </c>
      <c r="BN16" s="45">
        <f t="shared" si="8"/>
        <v>0</v>
      </c>
      <c r="BO16" s="45">
        <f t="shared" si="8"/>
        <v>0</v>
      </c>
      <c r="BP16" s="45">
        <f t="shared" si="8"/>
        <v>0</v>
      </c>
      <c r="BQ16" s="45">
        <f t="shared" si="8"/>
        <v>0</v>
      </c>
      <c r="BR16" s="45">
        <f t="shared" si="8"/>
        <v>0</v>
      </c>
      <c r="BS16" s="45">
        <f t="shared" si="8"/>
        <v>0</v>
      </c>
      <c r="BT16" s="45">
        <f t="shared" si="8"/>
        <v>0</v>
      </c>
      <c r="BU16" s="45">
        <f t="shared" si="8"/>
        <v>0</v>
      </c>
      <c r="BV16" s="45">
        <f t="shared" si="8"/>
        <v>0</v>
      </c>
      <c r="BW16" s="45">
        <f t="shared" si="9"/>
        <v>0</v>
      </c>
      <c r="BX16" s="45">
        <f t="shared" si="9"/>
        <v>0</v>
      </c>
      <c r="BY16" s="45">
        <f t="shared" si="9"/>
        <v>0</v>
      </c>
      <c r="BZ16" s="45">
        <f t="shared" si="9"/>
        <v>0</v>
      </c>
      <c r="CA16" s="45">
        <f t="shared" si="9"/>
        <v>0</v>
      </c>
      <c r="CB16" s="45">
        <f t="shared" si="9"/>
        <v>0</v>
      </c>
      <c r="CC16" s="45">
        <f t="shared" si="9"/>
        <v>0</v>
      </c>
      <c r="CD16" s="45">
        <f t="shared" si="9"/>
        <v>0</v>
      </c>
      <c r="CE16" s="45">
        <f t="shared" si="9"/>
        <v>0</v>
      </c>
      <c r="CF16" s="45">
        <f t="shared" si="9"/>
        <v>0</v>
      </c>
      <c r="CG16" s="45">
        <f t="shared" si="10"/>
        <v>0</v>
      </c>
      <c r="CH16" s="45">
        <f t="shared" si="10"/>
        <v>0</v>
      </c>
      <c r="CI16" s="45">
        <f t="shared" si="10"/>
        <v>0</v>
      </c>
      <c r="CJ16" s="45">
        <f t="shared" si="10"/>
        <v>0</v>
      </c>
      <c r="CK16" s="45">
        <f t="shared" si="10"/>
        <v>0</v>
      </c>
      <c r="CL16" s="45">
        <f t="shared" si="10"/>
        <v>0</v>
      </c>
      <c r="CM16" s="45">
        <f t="shared" si="10"/>
        <v>0</v>
      </c>
      <c r="CN16" s="45">
        <f t="shared" si="10"/>
        <v>0</v>
      </c>
      <c r="CO16" s="45">
        <f t="shared" si="10"/>
        <v>0</v>
      </c>
      <c r="CP16" s="45">
        <f t="shared" si="10"/>
        <v>0</v>
      </c>
      <c r="CQ16" s="45">
        <f t="shared" si="11"/>
        <v>0</v>
      </c>
      <c r="CR16" s="45">
        <f t="shared" si="11"/>
        <v>0</v>
      </c>
      <c r="CS16" s="45">
        <f t="shared" si="11"/>
        <v>0</v>
      </c>
      <c r="CT16" s="45">
        <f t="shared" si="11"/>
        <v>0</v>
      </c>
      <c r="CU16" s="45">
        <f t="shared" si="11"/>
        <v>0</v>
      </c>
      <c r="CV16" s="45">
        <f t="shared" si="11"/>
        <v>0</v>
      </c>
      <c r="CW16" s="45">
        <f t="shared" si="11"/>
        <v>1</v>
      </c>
      <c r="CX16" s="45">
        <f t="shared" si="11"/>
        <v>1</v>
      </c>
      <c r="CY16" s="45">
        <f t="shared" si="11"/>
        <v>1</v>
      </c>
      <c r="CZ16" s="45">
        <f t="shared" si="11"/>
        <v>1</v>
      </c>
      <c r="DA16" s="45">
        <f t="shared" si="11"/>
        <v>1</v>
      </c>
      <c r="DB16" s="45">
        <f t="shared" si="11"/>
        <v>1</v>
      </c>
      <c r="DC16" s="45">
        <f t="shared" si="11"/>
        <v>1</v>
      </c>
      <c r="DD16" s="45">
        <f t="shared" si="11"/>
        <v>1</v>
      </c>
      <c r="DF16" s="83">
        <f t="shared" si="12"/>
        <v>0</v>
      </c>
      <c r="DG16" s="83">
        <f t="shared" si="13"/>
        <v>0</v>
      </c>
      <c r="DH16" s="83">
        <f t="shared" si="13"/>
        <v>0</v>
      </c>
      <c r="DI16" s="83">
        <f t="shared" si="13"/>
        <v>0</v>
      </c>
      <c r="DJ16" s="83">
        <f t="shared" si="13"/>
        <v>0</v>
      </c>
      <c r="DK16" s="83">
        <f t="shared" si="13"/>
        <v>0</v>
      </c>
      <c r="DL16" s="83">
        <f t="shared" si="13"/>
        <v>0</v>
      </c>
      <c r="DM16" s="83">
        <f t="shared" si="13"/>
        <v>0</v>
      </c>
      <c r="DN16" s="83">
        <f t="shared" si="13"/>
        <v>0</v>
      </c>
      <c r="DO16" s="83">
        <f t="shared" si="13"/>
        <v>0</v>
      </c>
      <c r="DP16" s="83">
        <f t="shared" si="13"/>
        <v>0</v>
      </c>
      <c r="DQ16" s="83">
        <f t="shared" si="13"/>
        <v>0</v>
      </c>
      <c r="DR16" s="83">
        <f t="shared" si="13"/>
        <v>0</v>
      </c>
      <c r="DS16" s="83">
        <f t="shared" si="13"/>
        <v>0</v>
      </c>
      <c r="DT16" s="83">
        <f t="shared" si="13"/>
        <v>0</v>
      </c>
      <c r="DU16" s="83">
        <f t="shared" si="13"/>
        <v>0</v>
      </c>
      <c r="DV16" s="83">
        <f t="shared" si="13"/>
        <v>0</v>
      </c>
      <c r="DW16" s="83">
        <f t="shared" si="13"/>
        <v>0</v>
      </c>
      <c r="DX16" s="83">
        <f t="shared" si="13"/>
        <v>0</v>
      </c>
      <c r="DY16" s="83">
        <f t="shared" si="13"/>
        <v>0</v>
      </c>
      <c r="DZ16" s="83">
        <f t="shared" si="13"/>
        <v>0</v>
      </c>
      <c r="EA16" s="83">
        <f t="shared" si="13"/>
        <v>0</v>
      </c>
      <c r="EB16" s="83">
        <f t="shared" si="13"/>
        <v>0</v>
      </c>
      <c r="EC16" s="83">
        <f t="shared" si="13"/>
        <v>0</v>
      </c>
      <c r="ED16" s="83">
        <f t="shared" si="13"/>
        <v>0</v>
      </c>
      <c r="EE16" s="83">
        <f t="shared" si="13"/>
        <v>0</v>
      </c>
      <c r="EF16" s="83">
        <f t="shared" si="13"/>
        <v>0</v>
      </c>
      <c r="EG16" s="83">
        <f t="shared" si="13"/>
        <v>0</v>
      </c>
      <c r="EH16" s="83">
        <f t="shared" si="13"/>
        <v>0</v>
      </c>
      <c r="EI16" s="83">
        <f t="shared" si="13"/>
        <v>0</v>
      </c>
      <c r="EJ16" s="83">
        <f t="shared" si="13"/>
        <v>0</v>
      </c>
      <c r="EK16" s="83">
        <f t="shared" si="13"/>
        <v>0</v>
      </c>
      <c r="EL16" s="83">
        <f t="shared" si="13"/>
        <v>0</v>
      </c>
      <c r="EM16" s="83">
        <f t="shared" si="13"/>
        <v>0</v>
      </c>
      <c r="EN16" s="83">
        <f t="shared" si="13"/>
        <v>0</v>
      </c>
      <c r="EO16" s="83">
        <f t="shared" si="13"/>
        <v>0</v>
      </c>
      <c r="EP16" s="83">
        <f t="shared" si="13"/>
        <v>40</v>
      </c>
      <c r="EQ16" s="83">
        <f t="shared" si="13"/>
        <v>0</v>
      </c>
      <c r="ER16" s="83">
        <f t="shared" si="13"/>
        <v>0</v>
      </c>
      <c r="ES16" s="83">
        <f t="shared" si="13"/>
        <v>0</v>
      </c>
      <c r="ET16" s="83">
        <f t="shared" si="13"/>
        <v>0</v>
      </c>
      <c r="EU16" s="83">
        <f aca="true" t="shared" si="19" ref="EU16:EW22">IF($P16=EU$8,$O16,0)</f>
        <v>0</v>
      </c>
      <c r="EV16" s="83">
        <f t="shared" si="19"/>
        <v>0</v>
      </c>
      <c r="EW16" s="83">
        <f t="shared" si="19"/>
        <v>0</v>
      </c>
    </row>
    <row r="17" spans="1:153" ht="12.75" outlineLevel="1">
      <c r="A17" s="207">
        <v>7</v>
      </c>
      <c r="B17" s="87" t="s">
        <v>133</v>
      </c>
      <c r="C17" s="208">
        <v>25</v>
      </c>
      <c r="D17" s="192"/>
      <c r="E17" s="262">
        <v>2004</v>
      </c>
      <c r="F17" s="268">
        <v>15</v>
      </c>
      <c r="G17" s="246">
        <f t="shared" si="14"/>
        <v>100</v>
      </c>
      <c r="H17" s="221">
        <f t="shared" si="0"/>
        <v>16.402500000000003</v>
      </c>
      <c r="I17" s="229"/>
      <c r="J17" s="45">
        <f t="shared" si="15"/>
        <v>16.402500000000003</v>
      </c>
      <c r="K17" s="194">
        <f t="shared" si="1"/>
        <v>11</v>
      </c>
      <c r="L17" s="193">
        <f t="shared" si="16"/>
        <v>1.491136363636364</v>
      </c>
      <c r="M17" s="194">
        <f t="shared" si="2"/>
        <v>11</v>
      </c>
      <c r="N17" s="50">
        <f t="shared" si="17"/>
        <v>16.402500000000003</v>
      </c>
      <c r="O17" s="217">
        <v>36</v>
      </c>
      <c r="P17" s="224">
        <f t="shared" si="3"/>
        <v>2019</v>
      </c>
      <c r="Q17" s="228">
        <f t="shared" si="18"/>
        <v>275</v>
      </c>
      <c r="R17" s="45">
        <f t="shared" si="4"/>
        <v>1.491136363636364</v>
      </c>
      <c r="S17" s="45">
        <f t="shared" si="4"/>
        <v>1.491136363636364</v>
      </c>
      <c r="T17" s="45">
        <f t="shared" si="4"/>
        <v>1.491136363636364</v>
      </c>
      <c r="U17" s="45">
        <f t="shared" si="4"/>
        <v>1.491136363636364</v>
      </c>
      <c r="V17" s="45">
        <f t="shared" si="4"/>
        <v>1.491136363636364</v>
      </c>
      <c r="W17" s="45">
        <f t="shared" si="4"/>
        <v>1.491136363636364</v>
      </c>
      <c r="X17" s="45">
        <f t="shared" si="4"/>
        <v>1.491136363636364</v>
      </c>
      <c r="Y17" s="45">
        <f t="shared" si="4"/>
        <v>1.491136363636364</v>
      </c>
      <c r="Z17" s="45">
        <f t="shared" si="4"/>
        <v>1.491136363636364</v>
      </c>
      <c r="AA17" s="45">
        <f t="shared" si="4"/>
        <v>1.491136363636364</v>
      </c>
      <c r="AB17" s="45">
        <f t="shared" si="5"/>
        <v>1.491136363636364</v>
      </c>
      <c r="AC17" s="45">
        <f t="shared" si="5"/>
        <v>0</v>
      </c>
      <c r="AD17" s="45">
        <f t="shared" si="5"/>
        <v>0</v>
      </c>
      <c r="AE17" s="45">
        <f t="shared" si="5"/>
        <v>0</v>
      </c>
      <c r="AF17" s="45">
        <f t="shared" si="5"/>
        <v>0</v>
      </c>
      <c r="AG17" s="45">
        <f t="shared" si="5"/>
        <v>0</v>
      </c>
      <c r="AH17" s="45">
        <f t="shared" si="5"/>
        <v>0</v>
      </c>
      <c r="AI17" s="45">
        <f t="shared" si="5"/>
        <v>0</v>
      </c>
      <c r="AJ17" s="45">
        <f t="shared" si="5"/>
        <v>0</v>
      </c>
      <c r="AK17" s="45">
        <f t="shared" si="5"/>
        <v>0</v>
      </c>
      <c r="AL17" s="45">
        <f t="shared" si="6"/>
        <v>0</v>
      </c>
      <c r="AM17" s="45">
        <f t="shared" si="6"/>
        <v>0</v>
      </c>
      <c r="AN17" s="45">
        <f t="shared" si="6"/>
        <v>0</v>
      </c>
      <c r="AO17" s="45">
        <f t="shared" si="6"/>
        <v>0</v>
      </c>
      <c r="AP17" s="45">
        <f t="shared" si="6"/>
        <v>0</v>
      </c>
      <c r="AQ17" s="45">
        <f t="shared" si="6"/>
        <v>0</v>
      </c>
      <c r="AR17" s="45">
        <f t="shared" si="6"/>
        <v>0</v>
      </c>
      <c r="AS17" s="45">
        <f t="shared" si="6"/>
        <v>0</v>
      </c>
      <c r="AT17" s="45">
        <f t="shared" si="6"/>
        <v>0</v>
      </c>
      <c r="AU17" s="45">
        <f t="shared" si="6"/>
        <v>0</v>
      </c>
      <c r="AV17" s="45">
        <f t="shared" si="7"/>
        <v>0</v>
      </c>
      <c r="AW17" s="45">
        <f t="shared" si="7"/>
        <v>0</v>
      </c>
      <c r="AX17" s="45">
        <f t="shared" si="7"/>
        <v>0</v>
      </c>
      <c r="AY17" s="45">
        <f t="shared" si="7"/>
        <v>0</v>
      </c>
      <c r="AZ17" s="45">
        <f t="shared" si="7"/>
        <v>0</v>
      </c>
      <c r="BA17" s="45">
        <f t="shared" si="7"/>
        <v>0</v>
      </c>
      <c r="BB17" s="45">
        <f t="shared" si="7"/>
        <v>0</v>
      </c>
      <c r="BC17" s="45">
        <f t="shared" si="7"/>
        <v>0</v>
      </c>
      <c r="BD17" s="45">
        <f t="shared" si="7"/>
        <v>0</v>
      </c>
      <c r="BE17" s="45">
        <f t="shared" si="7"/>
        <v>0</v>
      </c>
      <c r="BF17" s="45">
        <f t="shared" si="7"/>
        <v>0</v>
      </c>
      <c r="BG17" s="45">
        <f t="shared" si="7"/>
        <v>0</v>
      </c>
      <c r="BH17" s="45">
        <f t="shared" si="7"/>
        <v>0</v>
      </c>
      <c r="BI17" s="45">
        <f t="shared" si="7"/>
        <v>0</v>
      </c>
      <c r="BJ17" s="45"/>
      <c r="BK17" s="45"/>
      <c r="BM17" s="45">
        <f t="shared" si="8"/>
        <v>0</v>
      </c>
      <c r="BN17" s="45">
        <f t="shared" si="8"/>
        <v>0</v>
      </c>
      <c r="BO17" s="45">
        <f t="shared" si="8"/>
        <v>0</v>
      </c>
      <c r="BP17" s="45">
        <f t="shared" si="8"/>
        <v>0</v>
      </c>
      <c r="BQ17" s="45">
        <f t="shared" si="8"/>
        <v>0</v>
      </c>
      <c r="BR17" s="45">
        <f t="shared" si="8"/>
        <v>0</v>
      </c>
      <c r="BS17" s="45">
        <f t="shared" si="8"/>
        <v>0</v>
      </c>
      <c r="BT17" s="45">
        <f t="shared" si="8"/>
        <v>0</v>
      </c>
      <c r="BU17" s="45">
        <f t="shared" si="8"/>
        <v>0</v>
      </c>
      <c r="BV17" s="45">
        <f t="shared" si="8"/>
        <v>0</v>
      </c>
      <c r="BW17" s="45">
        <f t="shared" si="9"/>
        <v>0</v>
      </c>
      <c r="BX17" s="45">
        <f t="shared" si="9"/>
        <v>2.4</v>
      </c>
      <c r="BY17" s="45">
        <f t="shared" si="9"/>
        <v>2.4</v>
      </c>
      <c r="BZ17" s="45">
        <f t="shared" si="9"/>
        <v>2.4</v>
      </c>
      <c r="CA17" s="45">
        <f t="shared" si="9"/>
        <v>2.4</v>
      </c>
      <c r="CB17" s="45">
        <f t="shared" si="9"/>
        <v>2.4</v>
      </c>
      <c r="CC17" s="45">
        <f t="shared" si="9"/>
        <v>2.4</v>
      </c>
      <c r="CD17" s="45">
        <f t="shared" si="9"/>
        <v>2.4</v>
      </c>
      <c r="CE17" s="45">
        <f t="shared" si="9"/>
        <v>2.4</v>
      </c>
      <c r="CF17" s="45">
        <f t="shared" si="9"/>
        <v>2.4</v>
      </c>
      <c r="CG17" s="45">
        <f t="shared" si="10"/>
        <v>2.4</v>
      </c>
      <c r="CH17" s="45">
        <f t="shared" si="10"/>
        <v>2.4</v>
      </c>
      <c r="CI17" s="45">
        <f t="shared" si="10"/>
        <v>2.4</v>
      </c>
      <c r="CJ17" s="45">
        <f t="shared" si="10"/>
        <v>2.4</v>
      </c>
      <c r="CK17" s="45">
        <f t="shared" si="10"/>
        <v>2.4</v>
      </c>
      <c r="CL17" s="45">
        <f t="shared" si="10"/>
        <v>2.4</v>
      </c>
      <c r="CM17" s="45">
        <f t="shared" si="10"/>
        <v>0</v>
      </c>
      <c r="CN17" s="45">
        <f t="shared" si="10"/>
        <v>0</v>
      </c>
      <c r="CO17" s="45">
        <f t="shared" si="10"/>
        <v>0</v>
      </c>
      <c r="CP17" s="45">
        <f t="shared" si="10"/>
        <v>0</v>
      </c>
      <c r="CQ17" s="45">
        <f t="shared" si="11"/>
        <v>0</v>
      </c>
      <c r="CR17" s="45">
        <f t="shared" si="11"/>
        <v>0</v>
      </c>
      <c r="CS17" s="45">
        <f t="shared" si="11"/>
        <v>0</v>
      </c>
      <c r="CT17" s="45">
        <f t="shared" si="11"/>
        <v>0</v>
      </c>
      <c r="CU17" s="45">
        <f t="shared" si="11"/>
        <v>0</v>
      </c>
      <c r="CV17" s="45">
        <f t="shared" si="11"/>
        <v>0</v>
      </c>
      <c r="CW17" s="45">
        <f t="shared" si="11"/>
        <v>0</v>
      </c>
      <c r="CX17" s="45">
        <f t="shared" si="11"/>
        <v>0</v>
      </c>
      <c r="CY17" s="45">
        <f t="shared" si="11"/>
        <v>0</v>
      </c>
      <c r="CZ17" s="45">
        <f t="shared" si="11"/>
        <v>0</v>
      </c>
      <c r="DA17" s="45">
        <f t="shared" si="11"/>
        <v>0</v>
      </c>
      <c r="DB17" s="45">
        <f t="shared" si="11"/>
        <v>0</v>
      </c>
      <c r="DC17" s="45">
        <f t="shared" si="11"/>
        <v>0</v>
      </c>
      <c r="DD17" s="45">
        <f t="shared" si="11"/>
        <v>0</v>
      </c>
      <c r="DF17" s="83">
        <f t="shared" si="12"/>
        <v>0</v>
      </c>
      <c r="DG17" s="83">
        <f aca="true" t="shared" si="20" ref="DG17:DP22">IF($P17=DG$8,$O17,0)</f>
        <v>0</v>
      </c>
      <c r="DH17" s="83">
        <f t="shared" si="20"/>
        <v>0</v>
      </c>
      <c r="DI17" s="83">
        <f t="shared" si="20"/>
        <v>0</v>
      </c>
      <c r="DJ17" s="83">
        <f t="shared" si="20"/>
        <v>0</v>
      </c>
      <c r="DK17" s="83">
        <f t="shared" si="20"/>
        <v>0</v>
      </c>
      <c r="DL17" s="83">
        <f t="shared" si="20"/>
        <v>0</v>
      </c>
      <c r="DM17" s="83">
        <f t="shared" si="20"/>
        <v>0</v>
      </c>
      <c r="DN17" s="83">
        <f t="shared" si="20"/>
        <v>0</v>
      </c>
      <c r="DO17" s="83">
        <f t="shared" si="20"/>
        <v>0</v>
      </c>
      <c r="DP17" s="83">
        <f t="shared" si="20"/>
        <v>0</v>
      </c>
      <c r="DQ17" s="83">
        <f aca="true" t="shared" si="21" ref="DQ17:DZ22">IF($P17=DQ$8,$O17,0)</f>
        <v>36</v>
      </c>
      <c r="DR17" s="83">
        <f t="shared" si="21"/>
        <v>0</v>
      </c>
      <c r="DS17" s="83">
        <f t="shared" si="21"/>
        <v>0</v>
      </c>
      <c r="DT17" s="83">
        <f t="shared" si="21"/>
        <v>0</v>
      </c>
      <c r="DU17" s="83">
        <f t="shared" si="21"/>
        <v>0</v>
      </c>
      <c r="DV17" s="83">
        <f t="shared" si="21"/>
        <v>0</v>
      </c>
      <c r="DW17" s="83">
        <f t="shared" si="21"/>
        <v>0</v>
      </c>
      <c r="DX17" s="83">
        <f t="shared" si="21"/>
        <v>0</v>
      </c>
      <c r="DY17" s="83">
        <f t="shared" si="21"/>
        <v>0</v>
      </c>
      <c r="DZ17" s="83">
        <f t="shared" si="21"/>
        <v>0</v>
      </c>
      <c r="EA17" s="83">
        <f aca="true" t="shared" si="22" ref="EA17:EJ22">IF($P17=EA$8,$O17,0)</f>
        <v>0</v>
      </c>
      <c r="EB17" s="83">
        <f t="shared" si="22"/>
        <v>0</v>
      </c>
      <c r="EC17" s="83">
        <f t="shared" si="22"/>
        <v>0</v>
      </c>
      <c r="ED17" s="83">
        <f t="shared" si="22"/>
        <v>0</v>
      </c>
      <c r="EE17" s="83">
        <f t="shared" si="22"/>
        <v>0</v>
      </c>
      <c r="EF17" s="83">
        <f t="shared" si="22"/>
        <v>0</v>
      </c>
      <c r="EG17" s="83">
        <f t="shared" si="22"/>
        <v>0</v>
      </c>
      <c r="EH17" s="83">
        <f t="shared" si="22"/>
        <v>0</v>
      </c>
      <c r="EI17" s="83">
        <f t="shared" si="22"/>
        <v>0</v>
      </c>
      <c r="EJ17" s="83">
        <f t="shared" si="22"/>
        <v>0</v>
      </c>
      <c r="EK17" s="83">
        <f aca="true" t="shared" si="23" ref="EK17:ET22">IF($P17=EK$8,$O17,0)</f>
        <v>0</v>
      </c>
      <c r="EL17" s="83">
        <f t="shared" si="23"/>
        <v>0</v>
      </c>
      <c r="EM17" s="83">
        <f t="shared" si="23"/>
        <v>0</v>
      </c>
      <c r="EN17" s="83">
        <f t="shared" si="23"/>
        <v>0</v>
      </c>
      <c r="EO17" s="83">
        <f t="shared" si="23"/>
        <v>0</v>
      </c>
      <c r="EP17" s="83">
        <f t="shared" si="23"/>
        <v>0</v>
      </c>
      <c r="EQ17" s="83">
        <f t="shared" si="23"/>
        <v>0</v>
      </c>
      <c r="ER17" s="83">
        <f t="shared" si="23"/>
        <v>0</v>
      </c>
      <c r="ES17" s="83">
        <f t="shared" si="23"/>
        <v>0</v>
      </c>
      <c r="ET17" s="83">
        <f t="shared" si="23"/>
        <v>0</v>
      </c>
      <c r="EU17" s="83">
        <f t="shared" si="19"/>
        <v>0</v>
      </c>
      <c r="EV17" s="83">
        <f t="shared" si="19"/>
        <v>0</v>
      </c>
      <c r="EW17" s="83">
        <f t="shared" si="19"/>
        <v>0</v>
      </c>
    </row>
    <row r="18" spans="1:153" ht="12.75">
      <c r="A18" s="207">
        <v>8</v>
      </c>
      <c r="B18" s="218" t="s">
        <v>134</v>
      </c>
      <c r="C18" s="208">
        <v>26</v>
      </c>
      <c r="D18" s="192"/>
      <c r="E18" s="262">
        <v>1950</v>
      </c>
      <c r="F18" s="268">
        <v>70</v>
      </c>
      <c r="G18" s="246">
        <f t="shared" si="14"/>
        <v>1508</v>
      </c>
      <c r="H18" s="221">
        <f t="shared" si="0"/>
        <v>0.05768181209601894</v>
      </c>
      <c r="I18" s="229"/>
      <c r="J18" s="45">
        <f t="shared" si="15"/>
        <v>0.05768181209601894</v>
      </c>
      <c r="K18" s="194">
        <f t="shared" si="1"/>
        <v>12</v>
      </c>
      <c r="L18" s="193">
        <f t="shared" si="16"/>
        <v>0.0048068176746682454</v>
      </c>
      <c r="M18" s="194">
        <f t="shared" si="2"/>
        <v>12</v>
      </c>
      <c r="N18" s="50">
        <f t="shared" si="17"/>
        <v>0.05768181209601894</v>
      </c>
      <c r="O18" s="217">
        <v>250</v>
      </c>
      <c r="P18" s="224">
        <f aca="true" t="shared" si="24" ref="P18:P30">E18+F18</f>
        <v>2020</v>
      </c>
      <c r="Q18" s="228">
        <f t="shared" si="18"/>
        <v>312</v>
      </c>
      <c r="R18" s="45">
        <f t="shared" si="4"/>
        <v>0.0048068176746682454</v>
      </c>
      <c r="S18" s="45">
        <f t="shared" si="4"/>
        <v>0.0048068176746682454</v>
      </c>
      <c r="T18" s="45">
        <f t="shared" si="4"/>
        <v>0.0048068176746682454</v>
      </c>
      <c r="U18" s="45">
        <f t="shared" si="4"/>
        <v>0.0048068176746682454</v>
      </c>
      <c r="V18" s="45">
        <f t="shared" si="4"/>
        <v>0.0048068176746682454</v>
      </c>
      <c r="W18" s="45">
        <f t="shared" si="4"/>
        <v>0.0048068176746682454</v>
      </c>
      <c r="X18" s="45">
        <f t="shared" si="4"/>
        <v>0.0048068176746682454</v>
      </c>
      <c r="Y18" s="45">
        <f t="shared" si="4"/>
        <v>0.0048068176746682454</v>
      </c>
      <c r="Z18" s="45">
        <f t="shared" si="4"/>
        <v>0.0048068176746682454</v>
      </c>
      <c r="AA18" s="45">
        <f t="shared" si="4"/>
        <v>0.0048068176746682454</v>
      </c>
      <c r="AB18" s="45">
        <f t="shared" si="5"/>
        <v>0.0048068176746682454</v>
      </c>
      <c r="AC18" s="45">
        <f t="shared" si="5"/>
        <v>0.0048068176746682454</v>
      </c>
      <c r="AD18" s="45">
        <f t="shared" si="5"/>
        <v>0</v>
      </c>
      <c r="AE18" s="45">
        <f t="shared" si="5"/>
        <v>0</v>
      </c>
      <c r="AF18" s="45">
        <f t="shared" si="5"/>
        <v>0</v>
      </c>
      <c r="AG18" s="45">
        <f t="shared" si="5"/>
        <v>0</v>
      </c>
      <c r="AH18" s="45">
        <f t="shared" si="5"/>
        <v>0</v>
      </c>
      <c r="AI18" s="45">
        <f t="shared" si="5"/>
        <v>0</v>
      </c>
      <c r="AJ18" s="45">
        <f t="shared" si="5"/>
        <v>0</v>
      </c>
      <c r="AK18" s="45">
        <f t="shared" si="5"/>
        <v>0</v>
      </c>
      <c r="AL18" s="45">
        <f t="shared" si="6"/>
        <v>0</v>
      </c>
      <c r="AM18" s="45">
        <f t="shared" si="6"/>
        <v>0</v>
      </c>
      <c r="AN18" s="45">
        <f t="shared" si="6"/>
        <v>0</v>
      </c>
      <c r="AO18" s="45">
        <f t="shared" si="6"/>
        <v>0</v>
      </c>
      <c r="AP18" s="45">
        <f t="shared" si="6"/>
        <v>0</v>
      </c>
      <c r="AQ18" s="45">
        <f t="shared" si="6"/>
        <v>0</v>
      </c>
      <c r="AR18" s="45">
        <f t="shared" si="6"/>
        <v>0</v>
      </c>
      <c r="AS18" s="45">
        <f t="shared" si="6"/>
        <v>0</v>
      </c>
      <c r="AT18" s="45">
        <f t="shared" si="6"/>
        <v>0</v>
      </c>
      <c r="AU18" s="45">
        <f t="shared" si="6"/>
        <v>0</v>
      </c>
      <c r="AV18" s="45">
        <f t="shared" si="7"/>
        <v>0</v>
      </c>
      <c r="AW18" s="45">
        <f t="shared" si="7"/>
        <v>0</v>
      </c>
      <c r="AX18" s="45">
        <f t="shared" si="7"/>
        <v>0</v>
      </c>
      <c r="AY18" s="45">
        <f t="shared" si="7"/>
        <v>0</v>
      </c>
      <c r="AZ18" s="45">
        <f t="shared" si="7"/>
        <v>0</v>
      </c>
      <c r="BA18" s="45">
        <f t="shared" si="7"/>
        <v>0</v>
      </c>
      <c r="BB18" s="45">
        <f t="shared" si="7"/>
        <v>0</v>
      </c>
      <c r="BC18" s="45">
        <f t="shared" si="7"/>
        <v>0</v>
      </c>
      <c r="BD18" s="45">
        <f t="shared" si="7"/>
        <v>0</v>
      </c>
      <c r="BE18" s="45">
        <f t="shared" si="7"/>
        <v>0</v>
      </c>
      <c r="BF18" s="45">
        <f t="shared" si="7"/>
        <v>0</v>
      </c>
      <c r="BG18" s="45">
        <f t="shared" si="7"/>
        <v>0</v>
      </c>
      <c r="BH18" s="45">
        <f t="shared" si="7"/>
        <v>0</v>
      </c>
      <c r="BI18" s="45">
        <f t="shared" si="7"/>
        <v>0</v>
      </c>
      <c r="BJ18" s="45"/>
      <c r="BK18" s="45"/>
      <c r="BM18" s="45">
        <f t="shared" si="8"/>
        <v>0</v>
      </c>
      <c r="BN18" s="45">
        <f t="shared" si="8"/>
        <v>0</v>
      </c>
      <c r="BO18" s="45">
        <f t="shared" si="8"/>
        <v>0</v>
      </c>
      <c r="BP18" s="45">
        <f t="shared" si="8"/>
        <v>0</v>
      </c>
      <c r="BQ18" s="45">
        <f t="shared" si="8"/>
        <v>0</v>
      </c>
      <c r="BR18" s="45">
        <f t="shared" si="8"/>
        <v>0</v>
      </c>
      <c r="BS18" s="45">
        <f t="shared" si="8"/>
        <v>0</v>
      </c>
      <c r="BT18" s="45">
        <f t="shared" si="8"/>
        <v>0</v>
      </c>
      <c r="BU18" s="45">
        <f t="shared" si="8"/>
        <v>0</v>
      </c>
      <c r="BV18" s="45">
        <f t="shared" si="8"/>
        <v>0</v>
      </c>
      <c r="BW18" s="45">
        <f t="shared" si="9"/>
        <v>0</v>
      </c>
      <c r="BX18" s="45">
        <f t="shared" si="9"/>
        <v>0</v>
      </c>
      <c r="BY18" s="45">
        <f t="shared" si="9"/>
        <v>3.5714285714285716</v>
      </c>
      <c r="BZ18" s="45">
        <f t="shared" si="9"/>
        <v>3.5714285714285716</v>
      </c>
      <c r="CA18" s="45">
        <f t="shared" si="9"/>
        <v>3.5714285714285716</v>
      </c>
      <c r="CB18" s="45">
        <f t="shared" si="9"/>
        <v>3.5714285714285716</v>
      </c>
      <c r="CC18" s="45">
        <f t="shared" si="9"/>
        <v>3.5714285714285716</v>
      </c>
      <c r="CD18" s="45">
        <f t="shared" si="9"/>
        <v>3.5714285714285716</v>
      </c>
      <c r="CE18" s="45">
        <f t="shared" si="9"/>
        <v>3.5714285714285716</v>
      </c>
      <c r="CF18" s="45">
        <f t="shared" si="9"/>
        <v>3.5714285714285716</v>
      </c>
      <c r="CG18" s="45">
        <f t="shared" si="10"/>
        <v>3.5714285714285716</v>
      </c>
      <c r="CH18" s="45">
        <f t="shared" si="10"/>
        <v>3.5714285714285716</v>
      </c>
      <c r="CI18" s="45">
        <f t="shared" si="10"/>
        <v>3.5714285714285716</v>
      </c>
      <c r="CJ18" s="45">
        <f t="shared" si="10"/>
        <v>3.5714285714285716</v>
      </c>
      <c r="CK18" s="45">
        <f t="shared" si="10"/>
        <v>3.5714285714285716</v>
      </c>
      <c r="CL18" s="45">
        <f t="shared" si="10"/>
        <v>3.5714285714285716</v>
      </c>
      <c r="CM18" s="45">
        <f t="shared" si="10"/>
        <v>3.5714285714285716</v>
      </c>
      <c r="CN18" s="45">
        <f t="shared" si="10"/>
        <v>3.5714285714285716</v>
      </c>
      <c r="CO18" s="45">
        <f t="shared" si="10"/>
        <v>3.5714285714285716</v>
      </c>
      <c r="CP18" s="45">
        <f t="shared" si="10"/>
        <v>3.5714285714285716</v>
      </c>
      <c r="CQ18" s="45">
        <f t="shared" si="11"/>
        <v>3.5714285714285716</v>
      </c>
      <c r="CR18" s="45">
        <f t="shared" si="11"/>
        <v>3.5714285714285716</v>
      </c>
      <c r="CS18" s="45">
        <f t="shared" si="11"/>
        <v>3.5714285714285716</v>
      </c>
      <c r="CT18" s="45">
        <f t="shared" si="11"/>
        <v>3.5714285714285716</v>
      </c>
      <c r="CU18" s="45">
        <f t="shared" si="11"/>
        <v>3.5714285714285716</v>
      </c>
      <c r="CV18" s="45">
        <f t="shared" si="11"/>
        <v>3.5714285714285716</v>
      </c>
      <c r="CW18" s="45">
        <f t="shared" si="11"/>
        <v>3.5714285714285716</v>
      </c>
      <c r="CX18" s="45">
        <f t="shared" si="11"/>
        <v>3.5714285714285716</v>
      </c>
      <c r="CY18" s="45">
        <f t="shared" si="11"/>
        <v>3.5714285714285716</v>
      </c>
      <c r="CZ18" s="45">
        <f t="shared" si="11"/>
        <v>3.5714285714285716</v>
      </c>
      <c r="DA18" s="45">
        <f t="shared" si="11"/>
        <v>3.5714285714285716</v>
      </c>
      <c r="DB18" s="45">
        <f t="shared" si="11"/>
        <v>3.5714285714285716</v>
      </c>
      <c r="DC18" s="45">
        <f t="shared" si="11"/>
        <v>3.5714285714285716</v>
      </c>
      <c r="DD18" s="45">
        <f t="shared" si="11"/>
        <v>3.5714285714285716</v>
      </c>
      <c r="DF18" s="83">
        <f t="shared" si="12"/>
        <v>0</v>
      </c>
      <c r="DG18" s="83">
        <f t="shared" si="20"/>
        <v>0</v>
      </c>
      <c r="DH18" s="83">
        <f t="shared" si="20"/>
        <v>0</v>
      </c>
      <c r="DI18" s="83">
        <f t="shared" si="20"/>
        <v>0</v>
      </c>
      <c r="DJ18" s="83">
        <f t="shared" si="20"/>
        <v>0</v>
      </c>
      <c r="DK18" s="83">
        <f t="shared" si="20"/>
        <v>0</v>
      </c>
      <c r="DL18" s="83">
        <f t="shared" si="20"/>
        <v>0</v>
      </c>
      <c r="DM18" s="83">
        <f t="shared" si="20"/>
        <v>0</v>
      </c>
      <c r="DN18" s="83">
        <f t="shared" si="20"/>
        <v>0</v>
      </c>
      <c r="DO18" s="83">
        <f t="shared" si="20"/>
        <v>0</v>
      </c>
      <c r="DP18" s="83">
        <f t="shared" si="20"/>
        <v>0</v>
      </c>
      <c r="DQ18" s="83">
        <f t="shared" si="21"/>
        <v>0</v>
      </c>
      <c r="DR18" s="83">
        <f t="shared" si="21"/>
        <v>250</v>
      </c>
      <c r="DS18" s="83">
        <f t="shared" si="21"/>
        <v>0</v>
      </c>
      <c r="DT18" s="83">
        <f t="shared" si="21"/>
        <v>0</v>
      </c>
      <c r="DU18" s="83">
        <f t="shared" si="21"/>
        <v>0</v>
      </c>
      <c r="DV18" s="83">
        <f t="shared" si="21"/>
        <v>0</v>
      </c>
      <c r="DW18" s="83">
        <f t="shared" si="21"/>
        <v>0</v>
      </c>
      <c r="DX18" s="83">
        <f t="shared" si="21"/>
        <v>0</v>
      </c>
      <c r="DY18" s="83">
        <f t="shared" si="21"/>
        <v>0</v>
      </c>
      <c r="DZ18" s="83">
        <f t="shared" si="21"/>
        <v>0</v>
      </c>
      <c r="EA18" s="83">
        <f t="shared" si="22"/>
        <v>0</v>
      </c>
      <c r="EB18" s="83">
        <f t="shared" si="22"/>
        <v>0</v>
      </c>
      <c r="EC18" s="83">
        <f t="shared" si="22"/>
        <v>0</v>
      </c>
      <c r="ED18" s="83">
        <f t="shared" si="22"/>
        <v>0</v>
      </c>
      <c r="EE18" s="83">
        <f t="shared" si="22"/>
        <v>0</v>
      </c>
      <c r="EF18" s="83">
        <f t="shared" si="22"/>
        <v>0</v>
      </c>
      <c r="EG18" s="83">
        <f t="shared" si="22"/>
        <v>0</v>
      </c>
      <c r="EH18" s="83">
        <f t="shared" si="22"/>
        <v>0</v>
      </c>
      <c r="EI18" s="83">
        <f t="shared" si="22"/>
        <v>0</v>
      </c>
      <c r="EJ18" s="83">
        <f t="shared" si="22"/>
        <v>0</v>
      </c>
      <c r="EK18" s="83">
        <f t="shared" si="23"/>
        <v>0</v>
      </c>
      <c r="EL18" s="83">
        <f t="shared" si="23"/>
        <v>0</v>
      </c>
      <c r="EM18" s="83">
        <f t="shared" si="23"/>
        <v>0</v>
      </c>
      <c r="EN18" s="83">
        <f t="shared" si="23"/>
        <v>0</v>
      </c>
      <c r="EO18" s="83">
        <f t="shared" si="23"/>
        <v>0</v>
      </c>
      <c r="EP18" s="83">
        <f t="shared" si="23"/>
        <v>0</v>
      </c>
      <c r="EQ18" s="83">
        <f t="shared" si="23"/>
        <v>0</v>
      </c>
      <c r="ER18" s="83">
        <f t="shared" si="23"/>
        <v>0</v>
      </c>
      <c r="ES18" s="83">
        <f t="shared" si="23"/>
        <v>0</v>
      </c>
      <c r="ET18" s="83">
        <f t="shared" si="23"/>
        <v>0</v>
      </c>
      <c r="EU18" s="83">
        <f t="shared" si="19"/>
        <v>0</v>
      </c>
      <c r="EV18" s="83">
        <f t="shared" si="19"/>
        <v>0</v>
      </c>
      <c r="EW18" s="83">
        <f t="shared" si="19"/>
        <v>0</v>
      </c>
    </row>
    <row r="19" spans="1:153" ht="12.75" outlineLevel="1">
      <c r="A19" s="207">
        <v>9</v>
      </c>
      <c r="B19" s="218">
        <v>2</v>
      </c>
      <c r="C19" s="208">
        <v>54</v>
      </c>
      <c r="D19" s="192"/>
      <c r="E19" s="262">
        <v>1954</v>
      </c>
      <c r="F19" s="268">
        <v>70</v>
      </c>
      <c r="G19" s="246">
        <f t="shared" si="14"/>
        <v>2916</v>
      </c>
      <c r="H19" s="221">
        <f t="shared" si="0"/>
        <v>0.1825951633302277</v>
      </c>
      <c r="I19" s="229"/>
      <c r="J19" s="45">
        <f t="shared" si="15"/>
        <v>0.1825951633302277</v>
      </c>
      <c r="K19" s="194">
        <f t="shared" si="1"/>
        <v>16</v>
      </c>
      <c r="L19" s="193">
        <f t="shared" si="16"/>
        <v>0.011412197708139232</v>
      </c>
      <c r="M19" s="194">
        <f t="shared" si="2"/>
        <v>16</v>
      </c>
      <c r="N19" s="50">
        <f t="shared" si="17"/>
        <v>0.1825951633302277</v>
      </c>
      <c r="O19" s="217">
        <v>450</v>
      </c>
      <c r="P19" s="224">
        <f t="shared" si="24"/>
        <v>2024</v>
      </c>
      <c r="Q19" s="228">
        <f t="shared" si="18"/>
        <v>864</v>
      </c>
      <c r="R19" s="45">
        <f t="shared" si="4"/>
        <v>0.011412197708139232</v>
      </c>
      <c r="S19" s="45">
        <f t="shared" si="4"/>
        <v>0.011412197708139232</v>
      </c>
      <c r="T19" s="45">
        <f t="shared" si="4"/>
        <v>0.011412197708139232</v>
      </c>
      <c r="U19" s="45">
        <f t="shared" si="4"/>
        <v>0.011412197708139232</v>
      </c>
      <c r="V19" s="45">
        <f t="shared" si="4"/>
        <v>0.011412197708139232</v>
      </c>
      <c r="W19" s="45">
        <f t="shared" si="4"/>
        <v>0.011412197708139232</v>
      </c>
      <c r="X19" s="45">
        <f t="shared" si="4"/>
        <v>0.011412197708139232</v>
      </c>
      <c r="Y19" s="45">
        <f t="shared" si="4"/>
        <v>0.011412197708139232</v>
      </c>
      <c r="Z19" s="45">
        <f t="shared" si="4"/>
        <v>0.011412197708139232</v>
      </c>
      <c r="AA19" s="45">
        <f t="shared" si="4"/>
        <v>0.011412197708139232</v>
      </c>
      <c r="AB19" s="45">
        <f t="shared" si="5"/>
        <v>0.011412197708139232</v>
      </c>
      <c r="AC19" s="45">
        <f t="shared" si="5"/>
        <v>0.011412197708139232</v>
      </c>
      <c r="AD19" s="45">
        <f t="shared" si="5"/>
        <v>0.011412197708139232</v>
      </c>
      <c r="AE19" s="45">
        <f t="shared" si="5"/>
        <v>0.011412197708139232</v>
      </c>
      <c r="AF19" s="45">
        <f t="shared" si="5"/>
        <v>0.011412197708139232</v>
      </c>
      <c r="AG19" s="45">
        <f t="shared" si="5"/>
        <v>0.011412197708139232</v>
      </c>
      <c r="AH19" s="45">
        <f t="shared" si="5"/>
        <v>0</v>
      </c>
      <c r="AI19" s="45">
        <f t="shared" si="5"/>
        <v>0</v>
      </c>
      <c r="AJ19" s="45">
        <f t="shared" si="5"/>
        <v>0</v>
      </c>
      <c r="AK19" s="45">
        <f t="shared" si="5"/>
        <v>0</v>
      </c>
      <c r="AL19" s="45">
        <f t="shared" si="6"/>
        <v>0</v>
      </c>
      <c r="AM19" s="45">
        <f t="shared" si="6"/>
        <v>0</v>
      </c>
      <c r="AN19" s="45">
        <f t="shared" si="6"/>
        <v>0</v>
      </c>
      <c r="AO19" s="45">
        <f t="shared" si="6"/>
        <v>0</v>
      </c>
      <c r="AP19" s="45">
        <f t="shared" si="6"/>
        <v>0</v>
      </c>
      <c r="AQ19" s="45">
        <f t="shared" si="6"/>
        <v>0</v>
      </c>
      <c r="AR19" s="45">
        <f t="shared" si="6"/>
        <v>0</v>
      </c>
      <c r="AS19" s="45">
        <f t="shared" si="6"/>
        <v>0</v>
      </c>
      <c r="AT19" s="45">
        <f t="shared" si="6"/>
        <v>0</v>
      </c>
      <c r="AU19" s="45">
        <f t="shared" si="6"/>
        <v>0</v>
      </c>
      <c r="AV19" s="45">
        <f t="shared" si="7"/>
        <v>0</v>
      </c>
      <c r="AW19" s="45">
        <f t="shared" si="7"/>
        <v>0</v>
      </c>
      <c r="AX19" s="45">
        <f t="shared" si="7"/>
        <v>0</v>
      </c>
      <c r="AY19" s="45">
        <f t="shared" si="7"/>
        <v>0</v>
      </c>
      <c r="AZ19" s="45">
        <f t="shared" si="7"/>
        <v>0</v>
      </c>
      <c r="BA19" s="45">
        <f t="shared" si="7"/>
        <v>0</v>
      </c>
      <c r="BB19" s="45">
        <f t="shared" si="7"/>
        <v>0</v>
      </c>
      <c r="BC19" s="45">
        <f t="shared" si="7"/>
        <v>0</v>
      </c>
      <c r="BD19" s="45">
        <f t="shared" si="7"/>
        <v>0</v>
      </c>
      <c r="BE19" s="45">
        <f t="shared" si="7"/>
        <v>0</v>
      </c>
      <c r="BF19" s="45">
        <f t="shared" si="7"/>
        <v>0</v>
      </c>
      <c r="BG19" s="45">
        <f t="shared" si="7"/>
        <v>0</v>
      </c>
      <c r="BH19" s="45">
        <f t="shared" si="7"/>
        <v>0</v>
      </c>
      <c r="BI19" s="45">
        <f t="shared" si="7"/>
        <v>0</v>
      </c>
      <c r="BJ19" s="45"/>
      <c r="BK19" s="45"/>
      <c r="BM19" s="45">
        <f t="shared" si="8"/>
        <v>0</v>
      </c>
      <c r="BN19" s="45">
        <f t="shared" si="8"/>
        <v>0</v>
      </c>
      <c r="BO19" s="45">
        <f t="shared" si="8"/>
        <v>0</v>
      </c>
      <c r="BP19" s="45">
        <f t="shared" si="8"/>
        <v>0</v>
      </c>
      <c r="BQ19" s="45">
        <f t="shared" si="8"/>
        <v>0</v>
      </c>
      <c r="BR19" s="45">
        <f t="shared" si="8"/>
        <v>0</v>
      </c>
      <c r="BS19" s="45">
        <f t="shared" si="8"/>
        <v>0</v>
      </c>
      <c r="BT19" s="45">
        <f t="shared" si="8"/>
        <v>0</v>
      </c>
      <c r="BU19" s="45">
        <f t="shared" si="8"/>
        <v>0</v>
      </c>
      <c r="BV19" s="45">
        <f t="shared" si="8"/>
        <v>0</v>
      </c>
      <c r="BW19" s="45">
        <f t="shared" si="9"/>
        <v>0</v>
      </c>
      <c r="BX19" s="45">
        <f t="shared" si="9"/>
        <v>0</v>
      </c>
      <c r="BY19" s="45">
        <f t="shared" si="9"/>
        <v>0</v>
      </c>
      <c r="BZ19" s="45">
        <f t="shared" si="9"/>
        <v>0</v>
      </c>
      <c r="CA19" s="45">
        <f t="shared" si="9"/>
        <v>0</v>
      </c>
      <c r="CB19" s="45">
        <f t="shared" si="9"/>
        <v>0</v>
      </c>
      <c r="CC19" s="45">
        <f t="shared" si="9"/>
        <v>6.428571428571429</v>
      </c>
      <c r="CD19" s="45">
        <f t="shared" si="9"/>
        <v>6.428571428571429</v>
      </c>
      <c r="CE19" s="45">
        <f t="shared" si="9"/>
        <v>6.428571428571429</v>
      </c>
      <c r="CF19" s="45">
        <f t="shared" si="9"/>
        <v>6.428571428571429</v>
      </c>
      <c r="CG19" s="45">
        <f t="shared" si="10"/>
        <v>6.428571428571429</v>
      </c>
      <c r="CH19" s="45">
        <f t="shared" si="10"/>
        <v>6.428571428571429</v>
      </c>
      <c r="CI19" s="45">
        <f t="shared" si="10"/>
        <v>6.428571428571429</v>
      </c>
      <c r="CJ19" s="45">
        <f t="shared" si="10"/>
        <v>6.428571428571429</v>
      </c>
      <c r="CK19" s="45">
        <f t="shared" si="10"/>
        <v>6.428571428571429</v>
      </c>
      <c r="CL19" s="45">
        <f t="shared" si="10"/>
        <v>6.428571428571429</v>
      </c>
      <c r="CM19" s="45">
        <f t="shared" si="10"/>
        <v>6.428571428571429</v>
      </c>
      <c r="CN19" s="45">
        <f t="shared" si="10"/>
        <v>6.428571428571429</v>
      </c>
      <c r="CO19" s="45">
        <f t="shared" si="10"/>
        <v>6.428571428571429</v>
      </c>
      <c r="CP19" s="45">
        <f t="shared" si="10"/>
        <v>6.428571428571429</v>
      </c>
      <c r="CQ19" s="45">
        <f t="shared" si="11"/>
        <v>6.428571428571429</v>
      </c>
      <c r="CR19" s="45">
        <f t="shared" si="11"/>
        <v>6.428571428571429</v>
      </c>
      <c r="CS19" s="45">
        <f t="shared" si="11"/>
        <v>6.428571428571429</v>
      </c>
      <c r="CT19" s="45">
        <f t="shared" si="11"/>
        <v>6.428571428571429</v>
      </c>
      <c r="CU19" s="45">
        <f t="shared" si="11"/>
        <v>6.428571428571429</v>
      </c>
      <c r="CV19" s="45">
        <f t="shared" si="11"/>
        <v>6.428571428571429</v>
      </c>
      <c r="CW19" s="45">
        <f t="shared" si="11"/>
        <v>6.428571428571429</v>
      </c>
      <c r="CX19" s="45">
        <f t="shared" si="11"/>
        <v>6.428571428571429</v>
      </c>
      <c r="CY19" s="45">
        <f t="shared" si="11"/>
        <v>6.428571428571429</v>
      </c>
      <c r="CZ19" s="45">
        <f t="shared" si="11"/>
        <v>6.428571428571429</v>
      </c>
      <c r="DA19" s="45">
        <f t="shared" si="11"/>
        <v>6.428571428571429</v>
      </c>
      <c r="DB19" s="45">
        <f t="shared" si="11"/>
        <v>6.428571428571429</v>
      </c>
      <c r="DC19" s="45">
        <f t="shared" si="11"/>
        <v>6.428571428571429</v>
      </c>
      <c r="DD19" s="45">
        <f t="shared" si="11"/>
        <v>6.428571428571429</v>
      </c>
      <c r="DF19" s="83">
        <f t="shared" si="12"/>
        <v>0</v>
      </c>
      <c r="DG19" s="83">
        <f t="shared" si="20"/>
        <v>0</v>
      </c>
      <c r="DH19" s="83">
        <f t="shared" si="20"/>
        <v>0</v>
      </c>
      <c r="DI19" s="83">
        <f t="shared" si="20"/>
        <v>0</v>
      </c>
      <c r="DJ19" s="83">
        <f t="shared" si="20"/>
        <v>0</v>
      </c>
      <c r="DK19" s="83">
        <f t="shared" si="20"/>
        <v>0</v>
      </c>
      <c r="DL19" s="83">
        <f t="shared" si="20"/>
        <v>0</v>
      </c>
      <c r="DM19" s="83">
        <f t="shared" si="20"/>
        <v>0</v>
      </c>
      <c r="DN19" s="83">
        <f t="shared" si="20"/>
        <v>0</v>
      </c>
      <c r="DO19" s="83">
        <f t="shared" si="20"/>
        <v>0</v>
      </c>
      <c r="DP19" s="83">
        <f t="shared" si="20"/>
        <v>0</v>
      </c>
      <c r="DQ19" s="83">
        <f t="shared" si="21"/>
        <v>0</v>
      </c>
      <c r="DR19" s="83">
        <f t="shared" si="21"/>
        <v>0</v>
      </c>
      <c r="DS19" s="83">
        <f t="shared" si="21"/>
        <v>0</v>
      </c>
      <c r="DT19" s="83">
        <f t="shared" si="21"/>
        <v>0</v>
      </c>
      <c r="DU19" s="83">
        <f t="shared" si="21"/>
        <v>0</v>
      </c>
      <c r="DV19" s="83">
        <f t="shared" si="21"/>
        <v>450</v>
      </c>
      <c r="DW19" s="83">
        <f t="shared" si="21"/>
        <v>0</v>
      </c>
      <c r="DX19" s="83">
        <f t="shared" si="21"/>
        <v>0</v>
      </c>
      <c r="DY19" s="83">
        <f t="shared" si="21"/>
        <v>0</v>
      </c>
      <c r="DZ19" s="83">
        <f t="shared" si="21"/>
        <v>0</v>
      </c>
      <c r="EA19" s="83">
        <f t="shared" si="22"/>
        <v>0</v>
      </c>
      <c r="EB19" s="83">
        <f t="shared" si="22"/>
        <v>0</v>
      </c>
      <c r="EC19" s="83">
        <f t="shared" si="22"/>
        <v>0</v>
      </c>
      <c r="ED19" s="83">
        <f t="shared" si="22"/>
        <v>0</v>
      </c>
      <c r="EE19" s="83">
        <f t="shared" si="22"/>
        <v>0</v>
      </c>
      <c r="EF19" s="83">
        <f t="shared" si="22"/>
        <v>0</v>
      </c>
      <c r="EG19" s="83">
        <f t="shared" si="22"/>
        <v>0</v>
      </c>
      <c r="EH19" s="83">
        <f t="shared" si="22"/>
        <v>0</v>
      </c>
      <c r="EI19" s="83">
        <f t="shared" si="22"/>
        <v>0</v>
      </c>
      <c r="EJ19" s="83">
        <f t="shared" si="22"/>
        <v>0</v>
      </c>
      <c r="EK19" s="83">
        <f t="shared" si="23"/>
        <v>0</v>
      </c>
      <c r="EL19" s="83">
        <f t="shared" si="23"/>
        <v>0</v>
      </c>
      <c r="EM19" s="83">
        <f t="shared" si="23"/>
        <v>0</v>
      </c>
      <c r="EN19" s="83">
        <f t="shared" si="23"/>
        <v>0</v>
      </c>
      <c r="EO19" s="83">
        <f t="shared" si="23"/>
        <v>0</v>
      </c>
      <c r="EP19" s="83">
        <f t="shared" si="23"/>
        <v>0</v>
      </c>
      <c r="EQ19" s="83">
        <f t="shared" si="23"/>
        <v>0</v>
      </c>
      <c r="ER19" s="83">
        <f t="shared" si="23"/>
        <v>0</v>
      </c>
      <c r="ES19" s="83">
        <f t="shared" si="23"/>
        <v>0</v>
      </c>
      <c r="ET19" s="83">
        <f t="shared" si="23"/>
        <v>0</v>
      </c>
      <c r="EU19" s="83">
        <f t="shared" si="19"/>
        <v>0</v>
      </c>
      <c r="EV19" s="83">
        <f t="shared" si="19"/>
        <v>0</v>
      </c>
      <c r="EW19" s="83">
        <f t="shared" si="19"/>
        <v>0</v>
      </c>
    </row>
    <row r="20" spans="1:153" ht="12.75" outlineLevel="1">
      <c r="A20" s="207">
        <v>10</v>
      </c>
      <c r="B20" s="218">
        <v>3</v>
      </c>
      <c r="C20" s="208">
        <v>71</v>
      </c>
      <c r="D20" s="192"/>
      <c r="E20" s="262">
        <v>1960</v>
      </c>
      <c r="F20" s="268">
        <v>70</v>
      </c>
      <c r="G20" s="246">
        <f t="shared" si="14"/>
        <v>3408</v>
      </c>
      <c r="H20" s="221">
        <f t="shared" si="0"/>
        <v>0.45175066632065297</v>
      </c>
      <c r="I20" s="229"/>
      <c r="J20" s="45">
        <f t="shared" si="15"/>
        <v>0.45175066632065297</v>
      </c>
      <c r="K20" s="194">
        <f t="shared" si="1"/>
        <v>22</v>
      </c>
      <c r="L20" s="193">
        <f t="shared" si="16"/>
        <v>0.020534121196393317</v>
      </c>
      <c r="M20" s="194">
        <f t="shared" si="2"/>
        <v>22</v>
      </c>
      <c r="N20" s="50">
        <f t="shared" si="17"/>
        <v>0.45175066632065297</v>
      </c>
      <c r="O20" s="217">
        <v>500</v>
      </c>
      <c r="P20" s="224">
        <f t="shared" si="24"/>
        <v>2030</v>
      </c>
      <c r="Q20" s="228">
        <f t="shared" si="18"/>
        <v>1562</v>
      </c>
      <c r="R20" s="45">
        <f t="shared" si="4"/>
        <v>0.020534121196393317</v>
      </c>
      <c r="S20" s="45">
        <f t="shared" si="4"/>
        <v>0.020534121196393317</v>
      </c>
      <c r="T20" s="45">
        <f t="shared" si="4"/>
        <v>0.020534121196393317</v>
      </c>
      <c r="U20" s="45">
        <f t="shared" si="4"/>
        <v>0.020534121196393317</v>
      </c>
      <c r="V20" s="45">
        <f t="shared" si="4"/>
        <v>0.020534121196393317</v>
      </c>
      <c r="W20" s="45">
        <f t="shared" si="4"/>
        <v>0.020534121196393317</v>
      </c>
      <c r="X20" s="45">
        <f t="shared" si="4"/>
        <v>0.020534121196393317</v>
      </c>
      <c r="Y20" s="45">
        <f t="shared" si="4"/>
        <v>0.020534121196393317</v>
      </c>
      <c r="Z20" s="45">
        <f t="shared" si="4"/>
        <v>0.020534121196393317</v>
      </c>
      <c r="AA20" s="45">
        <f t="shared" si="4"/>
        <v>0.020534121196393317</v>
      </c>
      <c r="AB20" s="45">
        <f t="shared" si="5"/>
        <v>0.020534121196393317</v>
      </c>
      <c r="AC20" s="45">
        <f t="shared" si="5"/>
        <v>0.020534121196393317</v>
      </c>
      <c r="AD20" s="45">
        <f t="shared" si="5"/>
        <v>0.020534121196393317</v>
      </c>
      <c r="AE20" s="45">
        <f t="shared" si="5"/>
        <v>0.020534121196393317</v>
      </c>
      <c r="AF20" s="45">
        <f t="shared" si="5"/>
        <v>0.020534121196393317</v>
      </c>
      <c r="AG20" s="45">
        <f t="shared" si="5"/>
        <v>0.020534121196393317</v>
      </c>
      <c r="AH20" s="45">
        <f t="shared" si="5"/>
        <v>0.020534121196393317</v>
      </c>
      <c r="AI20" s="45">
        <f t="shared" si="5"/>
        <v>0.020534121196393317</v>
      </c>
      <c r="AJ20" s="45">
        <f t="shared" si="5"/>
        <v>0.020534121196393317</v>
      </c>
      <c r="AK20" s="45">
        <f t="shared" si="5"/>
        <v>0.020534121196393317</v>
      </c>
      <c r="AL20" s="45">
        <f t="shared" si="6"/>
        <v>0.020534121196393317</v>
      </c>
      <c r="AM20" s="45">
        <f t="shared" si="6"/>
        <v>0.020534121196393317</v>
      </c>
      <c r="AN20" s="45">
        <f t="shared" si="6"/>
        <v>0</v>
      </c>
      <c r="AO20" s="45">
        <f t="shared" si="6"/>
        <v>0</v>
      </c>
      <c r="AP20" s="45">
        <f t="shared" si="6"/>
        <v>0</v>
      </c>
      <c r="AQ20" s="45">
        <f t="shared" si="6"/>
        <v>0</v>
      </c>
      <c r="AR20" s="45">
        <f t="shared" si="6"/>
        <v>0</v>
      </c>
      <c r="AS20" s="45">
        <f t="shared" si="6"/>
        <v>0</v>
      </c>
      <c r="AT20" s="45">
        <f t="shared" si="6"/>
        <v>0</v>
      </c>
      <c r="AU20" s="45">
        <f t="shared" si="6"/>
        <v>0</v>
      </c>
      <c r="AV20" s="45">
        <f t="shared" si="7"/>
        <v>0</v>
      </c>
      <c r="AW20" s="45">
        <f t="shared" si="7"/>
        <v>0</v>
      </c>
      <c r="AX20" s="45">
        <f t="shared" si="7"/>
        <v>0</v>
      </c>
      <c r="AY20" s="45">
        <f t="shared" si="7"/>
        <v>0</v>
      </c>
      <c r="AZ20" s="45">
        <f t="shared" si="7"/>
        <v>0</v>
      </c>
      <c r="BA20" s="45">
        <f t="shared" si="7"/>
        <v>0</v>
      </c>
      <c r="BB20" s="45">
        <f t="shared" si="7"/>
        <v>0</v>
      </c>
      <c r="BC20" s="45">
        <f t="shared" si="7"/>
        <v>0</v>
      </c>
      <c r="BD20" s="45">
        <f t="shared" si="7"/>
        <v>0</v>
      </c>
      <c r="BE20" s="45">
        <f t="shared" si="7"/>
        <v>0</v>
      </c>
      <c r="BF20" s="45">
        <f t="shared" si="7"/>
        <v>0</v>
      </c>
      <c r="BG20" s="45">
        <f t="shared" si="7"/>
        <v>0</v>
      </c>
      <c r="BH20" s="45">
        <f t="shared" si="7"/>
        <v>0</v>
      </c>
      <c r="BI20" s="45">
        <f t="shared" si="7"/>
        <v>0</v>
      </c>
      <c r="BJ20" s="45"/>
      <c r="BK20" s="45"/>
      <c r="BM20" s="45">
        <f t="shared" si="8"/>
        <v>0</v>
      </c>
      <c r="BN20" s="45">
        <f t="shared" si="8"/>
        <v>0</v>
      </c>
      <c r="BO20" s="45">
        <f t="shared" si="8"/>
        <v>0</v>
      </c>
      <c r="BP20" s="45">
        <f t="shared" si="8"/>
        <v>0</v>
      </c>
      <c r="BQ20" s="45">
        <f t="shared" si="8"/>
        <v>0</v>
      </c>
      <c r="BR20" s="45">
        <f t="shared" si="8"/>
        <v>0</v>
      </c>
      <c r="BS20" s="45">
        <f t="shared" si="8"/>
        <v>0</v>
      </c>
      <c r="BT20" s="45">
        <f t="shared" si="8"/>
        <v>0</v>
      </c>
      <c r="BU20" s="45">
        <f t="shared" si="8"/>
        <v>0</v>
      </c>
      <c r="BV20" s="45">
        <f t="shared" si="8"/>
        <v>0</v>
      </c>
      <c r="BW20" s="45">
        <f t="shared" si="9"/>
        <v>0</v>
      </c>
      <c r="BX20" s="45">
        <f t="shared" si="9"/>
        <v>0</v>
      </c>
      <c r="BY20" s="45">
        <f t="shared" si="9"/>
        <v>0</v>
      </c>
      <c r="BZ20" s="45">
        <f t="shared" si="9"/>
        <v>0</v>
      </c>
      <c r="CA20" s="45">
        <f t="shared" si="9"/>
        <v>0</v>
      </c>
      <c r="CB20" s="45">
        <f t="shared" si="9"/>
        <v>0</v>
      </c>
      <c r="CC20" s="45">
        <f t="shared" si="9"/>
        <v>0</v>
      </c>
      <c r="CD20" s="45">
        <f t="shared" si="9"/>
        <v>0</v>
      </c>
      <c r="CE20" s="45">
        <f t="shared" si="9"/>
        <v>0</v>
      </c>
      <c r="CF20" s="45">
        <f t="shared" si="9"/>
        <v>0</v>
      </c>
      <c r="CG20" s="45">
        <f t="shared" si="10"/>
        <v>0</v>
      </c>
      <c r="CH20" s="45">
        <f t="shared" si="10"/>
        <v>0</v>
      </c>
      <c r="CI20" s="45">
        <f t="shared" si="10"/>
        <v>7.142857142857143</v>
      </c>
      <c r="CJ20" s="45">
        <f t="shared" si="10"/>
        <v>7.142857142857143</v>
      </c>
      <c r="CK20" s="45">
        <f t="shared" si="10"/>
        <v>7.142857142857143</v>
      </c>
      <c r="CL20" s="45">
        <f t="shared" si="10"/>
        <v>7.142857142857143</v>
      </c>
      <c r="CM20" s="45">
        <f t="shared" si="10"/>
        <v>7.142857142857143</v>
      </c>
      <c r="CN20" s="45">
        <f t="shared" si="10"/>
        <v>7.142857142857143</v>
      </c>
      <c r="CO20" s="45">
        <f t="shared" si="10"/>
        <v>7.142857142857143</v>
      </c>
      <c r="CP20" s="45">
        <f t="shared" si="10"/>
        <v>7.142857142857143</v>
      </c>
      <c r="CQ20" s="45">
        <f t="shared" si="11"/>
        <v>7.142857142857143</v>
      </c>
      <c r="CR20" s="45">
        <f t="shared" si="11"/>
        <v>7.142857142857143</v>
      </c>
      <c r="CS20" s="45">
        <f t="shared" si="11"/>
        <v>7.142857142857143</v>
      </c>
      <c r="CT20" s="45">
        <f t="shared" si="11"/>
        <v>7.142857142857143</v>
      </c>
      <c r="CU20" s="45">
        <f t="shared" si="11"/>
        <v>7.142857142857143</v>
      </c>
      <c r="CV20" s="45">
        <f t="shared" si="11"/>
        <v>7.142857142857143</v>
      </c>
      <c r="CW20" s="45">
        <f t="shared" si="11"/>
        <v>7.142857142857143</v>
      </c>
      <c r="CX20" s="45">
        <f t="shared" si="11"/>
        <v>7.142857142857143</v>
      </c>
      <c r="CY20" s="45">
        <f t="shared" si="11"/>
        <v>7.142857142857143</v>
      </c>
      <c r="CZ20" s="45">
        <f t="shared" si="11"/>
        <v>7.142857142857143</v>
      </c>
      <c r="DA20" s="45">
        <f t="shared" si="11"/>
        <v>7.142857142857143</v>
      </c>
      <c r="DB20" s="45">
        <f t="shared" si="11"/>
        <v>7.142857142857143</v>
      </c>
      <c r="DC20" s="45">
        <f t="shared" si="11"/>
        <v>7.142857142857143</v>
      </c>
      <c r="DD20" s="45">
        <f t="shared" si="11"/>
        <v>7.142857142857143</v>
      </c>
      <c r="DF20" s="83">
        <f t="shared" si="12"/>
        <v>0</v>
      </c>
      <c r="DG20" s="83">
        <f t="shared" si="20"/>
        <v>0</v>
      </c>
      <c r="DH20" s="83">
        <f t="shared" si="20"/>
        <v>0</v>
      </c>
      <c r="DI20" s="83">
        <f t="shared" si="20"/>
        <v>0</v>
      </c>
      <c r="DJ20" s="83">
        <f t="shared" si="20"/>
        <v>0</v>
      </c>
      <c r="DK20" s="83">
        <f t="shared" si="20"/>
        <v>0</v>
      </c>
      <c r="DL20" s="83">
        <f t="shared" si="20"/>
        <v>0</v>
      </c>
      <c r="DM20" s="83">
        <f t="shared" si="20"/>
        <v>0</v>
      </c>
      <c r="DN20" s="83">
        <f t="shared" si="20"/>
        <v>0</v>
      </c>
      <c r="DO20" s="83">
        <f t="shared" si="20"/>
        <v>0</v>
      </c>
      <c r="DP20" s="83">
        <f t="shared" si="20"/>
        <v>0</v>
      </c>
      <c r="DQ20" s="83">
        <f t="shared" si="21"/>
        <v>0</v>
      </c>
      <c r="DR20" s="83">
        <f t="shared" si="21"/>
        <v>0</v>
      </c>
      <c r="DS20" s="83">
        <f t="shared" si="21"/>
        <v>0</v>
      </c>
      <c r="DT20" s="83">
        <f t="shared" si="21"/>
        <v>0</v>
      </c>
      <c r="DU20" s="83">
        <f t="shared" si="21"/>
        <v>0</v>
      </c>
      <c r="DV20" s="83">
        <f t="shared" si="21"/>
        <v>0</v>
      </c>
      <c r="DW20" s="83">
        <f t="shared" si="21"/>
        <v>0</v>
      </c>
      <c r="DX20" s="83">
        <f t="shared" si="21"/>
        <v>0</v>
      </c>
      <c r="DY20" s="83">
        <f t="shared" si="21"/>
        <v>0</v>
      </c>
      <c r="DZ20" s="83">
        <f t="shared" si="21"/>
        <v>0</v>
      </c>
      <c r="EA20" s="83">
        <f t="shared" si="22"/>
        <v>0</v>
      </c>
      <c r="EB20" s="83">
        <f t="shared" si="22"/>
        <v>500</v>
      </c>
      <c r="EC20" s="83">
        <f t="shared" si="22"/>
        <v>0</v>
      </c>
      <c r="ED20" s="83">
        <f t="shared" si="22"/>
        <v>0</v>
      </c>
      <c r="EE20" s="83">
        <f t="shared" si="22"/>
        <v>0</v>
      </c>
      <c r="EF20" s="83">
        <f t="shared" si="22"/>
        <v>0</v>
      </c>
      <c r="EG20" s="83">
        <f t="shared" si="22"/>
        <v>0</v>
      </c>
      <c r="EH20" s="83">
        <f t="shared" si="22"/>
        <v>0</v>
      </c>
      <c r="EI20" s="83">
        <f t="shared" si="22"/>
        <v>0</v>
      </c>
      <c r="EJ20" s="83">
        <f t="shared" si="22"/>
        <v>0</v>
      </c>
      <c r="EK20" s="83">
        <f t="shared" si="23"/>
        <v>0</v>
      </c>
      <c r="EL20" s="83">
        <f t="shared" si="23"/>
        <v>0</v>
      </c>
      <c r="EM20" s="83">
        <f t="shared" si="23"/>
        <v>0</v>
      </c>
      <c r="EN20" s="83">
        <f t="shared" si="23"/>
        <v>0</v>
      </c>
      <c r="EO20" s="83">
        <f t="shared" si="23"/>
        <v>0</v>
      </c>
      <c r="EP20" s="83">
        <f t="shared" si="23"/>
        <v>0</v>
      </c>
      <c r="EQ20" s="83">
        <f t="shared" si="23"/>
        <v>0</v>
      </c>
      <c r="ER20" s="83">
        <f t="shared" si="23"/>
        <v>0</v>
      </c>
      <c r="ES20" s="83">
        <f t="shared" si="23"/>
        <v>0</v>
      </c>
      <c r="ET20" s="83">
        <f t="shared" si="23"/>
        <v>0</v>
      </c>
      <c r="EU20" s="83">
        <f t="shared" si="19"/>
        <v>0</v>
      </c>
      <c r="EV20" s="83">
        <f t="shared" si="19"/>
        <v>0</v>
      </c>
      <c r="EW20" s="83">
        <f t="shared" si="19"/>
        <v>0</v>
      </c>
    </row>
    <row r="21" spans="1:153" ht="12.75" outlineLevel="1">
      <c r="A21" s="207">
        <v>11</v>
      </c>
      <c r="B21" s="218">
        <v>4</v>
      </c>
      <c r="C21" s="208">
        <v>44</v>
      </c>
      <c r="D21" s="192"/>
      <c r="E21" s="262">
        <v>1970</v>
      </c>
      <c r="F21" s="268">
        <v>70</v>
      </c>
      <c r="G21" s="246">
        <f t="shared" si="14"/>
        <v>1672</v>
      </c>
      <c r="H21" s="221">
        <f t="shared" si="0"/>
        <v>0.8029121597816335</v>
      </c>
      <c r="I21" s="229"/>
      <c r="J21" s="45">
        <f t="shared" si="15"/>
        <v>0.8029121597816335</v>
      </c>
      <c r="K21" s="194">
        <f t="shared" si="1"/>
        <v>32</v>
      </c>
      <c r="L21" s="193">
        <f t="shared" si="16"/>
        <v>0.02509100499317605</v>
      </c>
      <c r="M21" s="194">
        <f t="shared" si="2"/>
        <v>32</v>
      </c>
      <c r="N21" s="50">
        <f t="shared" si="17"/>
        <v>0.8029121597816335</v>
      </c>
      <c r="O21" s="217">
        <v>220</v>
      </c>
      <c r="P21" s="224">
        <f t="shared" si="24"/>
        <v>2040</v>
      </c>
      <c r="Q21" s="228">
        <f t="shared" si="18"/>
        <v>1408</v>
      </c>
      <c r="R21" s="45">
        <f aca="true" t="shared" si="25" ref="R21:AA32">IF(R$8&gt;$F$3+$M21,0,$L21)</f>
        <v>0.02509100499317605</v>
      </c>
      <c r="S21" s="45">
        <f t="shared" si="25"/>
        <v>0.02509100499317605</v>
      </c>
      <c r="T21" s="45">
        <f t="shared" si="25"/>
        <v>0.02509100499317605</v>
      </c>
      <c r="U21" s="45">
        <f t="shared" si="25"/>
        <v>0.02509100499317605</v>
      </c>
      <c r="V21" s="45">
        <f t="shared" si="25"/>
        <v>0.02509100499317605</v>
      </c>
      <c r="W21" s="45">
        <f t="shared" si="25"/>
        <v>0.02509100499317605</v>
      </c>
      <c r="X21" s="45">
        <f t="shared" si="25"/>
        <v>0.02509100499317605</v>
      </c>
      <c r="Y21" s="45">
        <f t="shared" si="25"/>
        <v>0.02509100499317605</v>
      </c>
      <c r="Z21" s="45">
        <f t="shared" si="25"/>
        <v>0.02509100499317605</v>
      </c>
      <c r="AA21" s="45">
        <f t="shared" si="25"/>
        <v>0.02509100499317605</v>
      </c>
      <c r="AB21" s="45">
        <f aca="true" t="shared" si="26" ref="AB21:AK32">IF(AB$8&gt;$F$3+$M21,0,$L21)</f>
        <v>0.02509100499317605</v>
      </c>
      <c r="AC21" s="45">
        <f t="shared" si="26"/>
        <v>0.02509100499317605</v>
      </c>
      <c r="AD21" s="45">
        <f t="shared" si="26"/>
        <v>0.02509100499317605</v>
      </c>
      <c r="AE21" s="45">
        <f t="shared" si="26"/>
        <v>0.02509100499317605</v>
      </c>
      <c r="AF21" s="45">
        <f t="shared" si="26"/>
        <v>0.02509100499317605</v>
      </c>
      <c r="AG21" s="45">
        <f t="shared" si="26"/>
        <v>0.02509100499317605</v>
      </c>
      <c r="AH21" s="45">
        <f t="shared" si="26"/>
        <v>0.02509100499317605</v>
      </c>
      <c r="AI21" s="45">
        <f t="shared" si="26"/>
        <v>0.02509100499317605</v>
      </c>
      <c r="AJ21" s="45">
        <f t="shared" si="26"/>
        <v>0.02509100499317605</v>
      </c>
      <c r="AK21" s="45">
        <f t="shared" si="26"/>
        <v>0.02509100499317605</v>
      </c>
      <c r="AL21" s="45">
        <f aca="true" t="shared" si="27" ref="AL21:AU32">IF(AL$8&gt;$F$3+$M21,0,$L21)</f>
        <v>0.02509100499317605</v>
      </c>
      <c r="AM21" s="45">
        <f t="shared" si="27"/>
        <v>0.02509100499317605</v>
      </c>
      <c r="AN21" s="45">
        <f t="shared" si="27"/>
        <v>0.02509100499317605</v>
      </c>
      <c r="AO21" s="45">
        <f t="shared" si="27"/>
        <v>0.02509100499317605</v>
      </c>
      <c r="AP21" s="45">
        <f t="shared" si="27"/>
        <v>0.02509100499317605</v>
      </c>
      <c r="AQ21" s="45">
        <f t="shared" si="27"/>
        <v>0.02509100499317605</v>
      </c>
      <c r="AR21" s="45">
        <f t="shared" si="27"/>
        <v>0.02509100499317605</v>
      </c>
      <c r="AS21" s="45">
        <f t="shared" si="27"/>
        <v>0.02509100499317605</v>
      </c>
      <c r="AT21" s="45">
        <f t="shared" si="27"/>
        <v>0.02509100499317605</v>
      </c>
      <c r="AU21" s="45">
        <f t="shared" si="27"/>
        <v>0.02509100499317605</v>
      </c>
      <c r="AV21" s="45">
        <f aca="true" t="shared" si="28" ref="AV21:BI32">IF(AV$8&gt;$F$3+$M21,0,$L21)</f>
        <v>0.02509100499317605</v>
      </c>
      <c r="AW21" s="45">
        <f t="shared" si="28"/>
        <v>0.02509100499317605</v>
      </c>
      <c r="AX21" s="45">
        <f t="shared" si="28"/>
        <v>0</v>
      </c>
      <c r="AY21" s="45">
        <f t="shared" si="28"/>
        <v>0</v>
      </c>
      <c r="AZ21" s="45">
        <f t="shared" si="28"/>
        <v>0</v>
      </c>
      <c r="BA21" s="45">
        <f t="shared" si="28"/>
        <v>0</v>
      </c>
      <c r="BB21" s="45">
        <f t="shared" si="28"/>
        <v>0</v>
      </c>
      <c r="BC21" s="45">
        <f t="shared" si="28"/>
        <v>0</v>
      </c>
      <c r="BD21" s="45">
        <f t="shared" si="28"/>
        <v>0</v>
      </c>
      <c r="BE21" s="45">
        <f t="shared" si="28"/>
        <v>0</v>
      </c>
      <c r="BF21" s="45">
        <f t="shared" si="28"/>
        <v>0</v>
      </c>
      <c r="BG21" s="45">
        <f t="shared" si="28"/>
        <v>0</v>
      </c>
      <c r="BH21" s="45">
        <f t="shared" si="28"/>
        <v>0</v>
      </c>
      <c r="BI21" s="45">
        <f t="shared" si="28"/>
        <v>0</v>
      </c>
      <c r="BJ21" s="45"/>
      <c r="BK21" s="45"/>
      <c r="BM21" s="45">
        <f aca="true" t="shared" si="29" ref="BM21:BV37">IF($P21&lt;BM$8+1,IF(BM$8&lt;$F21+$P21,$O21/$F21,0),0)</f>
        <v>0</v>
      </c>
      <c r="BN21" s="45">
        <f t="shared" si="29"/>
        <v>0</v>
      </c>
      <c r="BO21" s="45">
        <f t="shared" si="29"/>
        <v>0</v>
      </c>
      <c r="BP21" s="45">
        <f t="shared" si="29"/>
        <v>0</v>
      </c>
      <c r="BQ21" s="45">
        <f t="shared" si="29"/>
        <v>0</v>
      </c>
      <c r="BR21" s="45">
        <f t="shared" si="29"/>
        <v>0</v>
      </c>
      <c r="BS21" s="45">
        <f t="shared" si="29"/>
        <v>0</v>
      </c>
      <c r="BT21" s="45">
        <f t="shared" si="29"/>
        <v>0</v>
      </c>
      <c r="BU21" s="45">
        <f t="shared" si="29"/>
        <v>0</v>
      </c>
      <c r="BV21" s="45">
        <f t="shared" si="29"/>
        <v>0</v>
      </c>
      <c r="BW21" s="45">
        <f aca="true" t="shared" si="30" ref="BW21:CF37">IF($P21&lt;BW$8+1,IF(BW$8&lt;$F21+$P21,$O21/$F21,0),0)</f>
        <v>0</v>
      </c>
      <c r="BX21" s="45">
        <f t="shared" si="30"/>
        <v>0</v>
      </c>
      <c r="BY21" s="45">
        <f t="shared" si="30"/>
        <v>0</v>
      </c>
      <c r="BZ21" s="45">
        <f t="shared" si="30"/>
        <v>0</v>
      </c>
      <c r="CA21" s="45">
        <f t="shared" si="30"/>
        <v>0</v>
      </c>
      <c r="CB21" s="45">
        <f t="shared" si="30"/>
        <v>0</v>
      </c>
      <c r="CC21" s="45">
        <f t="shared" si="30"/>
        <v>0</v>
      </c>
      <c r="CD21" s="45">
        <f t="shared" si="30"/>
        <v>0</v>
      </c>
      <c r="CE21" s="45">
        <f t="shared" si="30"/>
        <v>0</v>
      </c>
      <c r="CF21" s="45">
        <f t="shared" si="30"/>
        <v>0</v>
      </c>
      <c r="CG21" s="45">
        <f aca="true" t="shared" si="31" ref="CG21:CP37">IF($P21&lt;CG$8+1,IF(CG$8&lt;$F21+$P21,$O21/$F21,0),0)</f>
        <v>0</v>
      </c>
      <c r="CH21" s="45">
        <f t="shared" si="31"/>
        <v>0</v>
      </c>
      <c r="CI21" s="45">
        <f t="shared" si="31"/>
        <v>0</v>
      </c>
      <c r="CJ21" s="45">
        <f t="shared" si="31"/>
        <v>0</v>
      </c>
      <c r="CK21" s="45">
        <f t="shared" si="31"/>
        <v>0</v>
      </c>
      <c r="CL21" s="45">
        <f t="shared" si="31"/>
        <v>0</v>
      </c>
      <c r="CM21" s="45">
        <f t="shared" si="31"/>
        <v>0</v>
      </c>
      <c r="CN21" s="45">
        <f t="shared" si="31"/>
        <v>0</v>
      </c>
      <c r="CO21" s="45">
        <f t="shared" si="31"/>
        <v>0</v>
      </c>
      <c r="CP21" s="45">
        <f t="shared" si="31"/>
        <v>0</v>
      </c>
      <c r="CQ21" s="45">
        <f aca="true" t="shared" si="32" ref="CQ21:DD37">IF($P21&lt;CQ$8+1,IF(CQ$8&lt;$F21+$P21,$O21/$F21,0),0)</f>
        <v>0</v>
      </c>
      <c r="CR21" s="45">
        <f t="shared" si="32"/>
        <v>0</v>
      </c>
      <c r="CS21" s="45">
        <f t="shared" si="32"/>
        <v>3.142857142857143</v>
      </c>
      <c r="CT21" s="45">
        <f t="shared" si="32"/>
        <v>3.142857142857143</v>
      </c>
      <c r="CU21" s="45">
        <f t="shared" si="32"/>
        <v>3.142857142857143</v>
      </c>
      <c r="CV21" s="45">
        <f t="shared" si="32"/>
        <v>3.142857142857143</v>
      </c>
      <c r="CW21" s="45">
        <f t="shared" si="32"/>
        <v>3.142857142857143</v>
      </c>
      <c r="CX21" s="45">
        <f t="shared" si="32"/>
        <v>3.142857142857143</v>
      </c>
      <c r="CY21" s="45">
        <f t="shared" si="32"/>
        <v>3.142857142857143</v>
      </c>
      <c r="CZ21" s="45">
        <f t="shared" si="32"/>
        <v>3.142857142857143</v>
      </c>
      <c r="DA21" s="45">
        <f t="shared" si="32"/>
        <v>3.142857142857143</v>
      </c>
      <c r="DB21" s="45">
        <f t="shared" si="32"/>
        <v>3.142857142857143</v>
      </c>
      <c r="DC21" s="45">
        <f t="shared" si="32"/>
        <v>3.142857142857143</v>
      </c>
      <c r="DD21" s="45">
        <f t="shared" si="32"/>
        <v>3.142857142857143</v>
      </c>
      <c r="DF21" s="83">
        <f t="shared" si="12"/>
        <v>0</v>
      </c>
      <c r="DG21" s="83">
        <f t="shared" si="20"/>
        <v>0</v>
      </c>
      <c r="DH21" s="83">
        <f t="shared" si="20"/>
        <v>0</v>
      </c>
      <c r="DI21" s="83">
        <f t="shared" si="20"/>
        <v>0</v>
      </c>
      <c r="DJ21" s="83">
        <f t="shared" si="20"/>
        <v>0</v>
      </c>
      <c r="DK21" s="83">
        <f t="shared" si="20"/>
        <v>0</v>
      </c>
      <c r="DL21" s="83">
        <f t="shared" si="20"/>
        <v>0</v>
      </c>
      <c r="DM21" s="83">
        <f t="shared" si="20"/>
        <v>0</v>
      </c>
      <c r="DN21" s="83">
        <f t="shared" si="20"/>
        <v>0</v>
      </c>
      <c r="DO21" s="83">
        <f t="shared" si="20"/>
        <v>0</v>
      </c>
      <c r="DP21" s="83">
        <f t="shared" si="20"/>
        <v>0</v>
      </c>
      <c r="DQ21" s="83">
        <f t="shared" si="21"/>
        <v>0</v>
      </c>
      <c r="DR21" s="83">
        <f t="shared" si="21"/>
        <v>0</v>
      </c>
      <c r="DS21" s="83">
        <f t="shared" si="21"/>
        <v>0</v>
      </c>
      <c r="DT21" s="83">
        <f t="shared" si="21"/>
        <v>0</v>
      </c>
      <c r="DU21" s="83">
        <f t="shared" si="21"/>
        <v>0</v>
      </c>
      <c r="DV21" s="83">
        <f t="shared" si="21"/>
        <v>0</v>
      </c>
      <c r="DW21" s="83">
        <f t="shared" si="21"/>
        <v>0</v>
      </c>
      <c r="DX21" s="83">
        <f t="shared" si="21"/>
        <v>0</v>
      </c>
      <c r="DY21" s="83">
        <f t="shared" si="21"/>
        <v>0</v>
      </c>
      <c r="DZ21" s="83">
        <f t="shared" si="21"/>
        <v>0</v>
      </c>
      <c r="EA21" s="83">
        <f t="shared" si="22"/>
        <v>0</v>
      </c>
      <c r="EB21" s="83">
        <f t="shared" si="22"/>
        <v>0</v>
      </c>
      <c r="EC21" s="83">
        <f t="shared" si="22"/>
        <v>0</v>
      </c>
      <c r="ED21" s="83">
        <f t="shared" si="22"/>
        <v>0</v>
      </c>
      <c r="EE21" s="83">
        <f t="shared" si="22"/>
        <v>0</v>
      </c>
      <c r="EF21" s="83">
        <f t="shared" si="22"/>
        <v>0</v>
      </c>
      <c r="EG21" s="83">
        <f t="shared" si="22"/>
        <v>0</v>
      </c>
      <c r="EH21" s="83">
        <f t="shared" si="22"/>
        <v>0</v>
      </c>
      <c r="EI21" s="83">
        <f t="shared" si="22"/>
        <v>0</v>
      </c>
      <c r="EJ21" s="83">
        <f t="shared" si="22"/>
        <v>0</v>
      </c>
      <c r="EK21" s="83">
        <f t="shared" si="23"/>
        <v>0</v>
      </c>
      <c r="EL21" s="83">
        <f t="shared" si="23"/>
        <v>220</v>
      </c>
      <c r="EM21" s="83">
        <f t="shared" si="23"/>
        <v>0</v>
      </c>
      <c r="EN21" s="83">
        <f t="shared" si="23"/>
        <v>0</v>
      </c>
      <c r="EO21" s="83">
        <f t="shared" si="23"/>
        <v>0</v>
      </c>
      <c r="EP21" s="83">
        <f t="shared" si="23"/>
        <v>0</v>
      </c>
      <c r="EQ21" s="83">
        <f t="shared" si="23"/>
        <v>0</v>
      </c>
      <c r="ER21" s="83">
        <f t="shared" si="23"/>
        <v>0</v>
      </c>
      <c r="ES21" s="83">
        <f t="shared" si="23"/>
        <v>0</v>
      </c>
      <c r="ET21" s="83">
        <f t="shared" si="23"/>
        <v>0</v>
      </c>
      <c r="EU21" s="83">
        <f t="shared" si="19"/>
        <v>0</v>
      </c>
      <c r="EV21" s="83">
        <f t="shared" si="19"/>
        <v>0</v>
      </c>
      <c r="EW21" s="83">
        <f t="shared" si="19"/>
        <v>0</v>
      </c>
    </row>
    <row r="22" spans="1:153" ht="12.75" outlineLevel="1">
      <c r="A22" s="207">
        <v>12</v>
      </c>
      <c r="B22" s="218">
        <v>5</v>
      </c>
      <c r="C22" s="208">
        <v>192</v>
      </c>
      <c r="D22" s="192"/>
      <c r="E22" s="262">
        <v>1975</v>
      </c>
      <c r="F22" s="268">
        <v>70</v>
      </c>
      <c r="G22" s="246">
        <f t="shared" si="14"/>
        <v>6336</v>
      </c>
      <c r="H22" s="221">
        <f t="shared" si="0"/>
        <v>5.933405641465471</v>
      </c>
      <c r="I22" s="229"/>
      <c r="J22" s="45">
        <f t="shared" si="15"/>
        <v>5.933405641465471</v>
      </c>
      <c r="K22" s="194">
        <f t="shared" si="1"/>
        <v>37</v>
      </c>
      <c r="L22" s="193">
        <f t="shared" si="16"/>
        <v>0.16036231463420192</v>
      </c>
      <c r="M22" s="194">
        <f t="shared" si="2"/>
        <v>37</v>
      </c>
      <c r="N22" s="50">
        <f t="shared" si="17"/>
        <v>5.9334056414654714</v>
      </c>
      <c r="O22" s="217">
        <v>800</v>
      </c>
      <c r="P22" s="224">
        <f t="shared" si="24"/>
        <v>2045</v>
      </c>
      <c r="Q22" s="228">
        <f t="shared" si="18"/>
        <v>7104</v>
      </c>
      <c r="R22" s="45">
        <f t="shared" si="25"/>
        <v>0.16036231463420192</v>
      </c>
      <c r="S22" s="45">
        <f t="shared" si="25"/>
        <v>0.16036231463420192</v>
      </c>
      <c r="T22" s="45">
        <f t="shared" si="25"/>
        <v>0.16036231463420192</v>
      </c>
      <c r="U22" s="45">
        <f t="shared" si="25"/>
        <v>0.16036231463420192</v>
      </c>
      <c r="V22" s="45">
        <f t="shared" si="25"/>
        <v>0.16036231463420192</v>
      </c>
      <c r="W22" s="45">
        <f t="shared" si="25"/>
        <v>0.16036231463420192</v>
      </c>
      <c r="X22" s="45">
        <f t="shared" si="25"/>
        <v>0.16036231463420192</v>
      </c>
      <c r="Y22" s="45">
        <f t="shared" si="25"/>
        <v>0.16036231463420192</v>
      </c>
      <c r="Z22" s="45">
        <f t="shared" si="25"/>
        <v>0.16036231463420192</v>
      </c>
      <c r="AA22" s="45">
        <f t="shared" si="25"/>
        <v>0.16036231463420192</v>
      </c>
      <c r="AB22" s="45">
        <f t="shared" si="26"/>
        <v>0.16036231463420192</v>
      </c>
      <c r="AC22" s="45">
        <f t="shared" si="26"/>
        <v>0.16036231463420192</v>
      </c>
      <c r="AD22" s="45">
        <f t="shared" si="26"/>
        <v>0.16036231463420192</v>
      </c>
      <c r="AE22" s="45">
        <f t="shared" si="26"/>
        <v>0.16036231463420192</v>
      </c>
      <c r="AF22" s="45">
        <f t="shared" si="26"/>
        <v>0.16036231463420192</v>
      </c>
      <c r="AG22" s="45">
        <f t="shared" si="26"/>
        <v>0.16036231463420192</v>
      </c>
      <c r="AH22" s="45">
        <f t="shared" si="26"/>
        <v>0.16036231463420192</v>
      </c>
      <c r="AI22" s="45">
        <f t="shared" si="26"/>
        <v>0.16036231463420192</v>
      </c>
      <c r="AJ22" s="45">
        <f t="shared" si="26"/>
        <v>0.16036231463420192</v>
      </c>
      <c r="AK22" s="45">
        <f t="shared" si="26"/>
        <v>0.16036231463420192</v>
      </c>
      <c r="AL22" s="45">
        <f t="shared" si="27"/>
        <v>0.16036231463420192</v>
      </c>
      <c r="AM22" s="45">
        <f t="shared" si="27"/>
        <v>0.16036231463420192</v>
      </c>
      <c r="AN22" s="45">
        <f t="shared" si="27"/>
        <v>0.16036231463420192</v>
      </c>
      <c r="AO22" s="45">
        <f t="shared" si="27"/>
        <v>0.16036231463420192</v>
      </c>
      <c r="AP22" s="45">
        <f t="shared" si="27"/>
        <v>0.16036231463420192</v>
      </c>
      <c r="AQ22" s="45">
        <f t="shared" si="27"/>
        <v>0.16036231463420192</v>
      </c>
      <c r="AR22" s="45">
        <f t="shared" si="27"/>
        <v>0.16036231463420192</v>
      </c>
      <c r="AS22" s="45">
        <f t="shared" si="27"/>
        <v>0.16036231463420192</v>
      </c>
      <c r="AT22" s="45">
        <f t="shared" si="27"/>
        <v>0.16036231463420192</v>
      </c>
      <c r="AU22" s="45">
        <f t="shared" si="27"/>
        <v>0.16036231463420192</v>
      </c>
      <c r="AV22" s="45">
        <f t="shared" si="28"/>
        <v>0.16036231463420192</v>
      </c>
      <c r="AW22" s="45">
        <f t="shared" si="28"/>
        <v>0.16036231463420192</v>
      </c>
      <c r="AX22" s="45">
        <f t="shared" si="28"/>
        <v>0.16036231463420192</v>
      </c>
      <c r="AY22" s="45">
        <f t="shared" si="28"/>
        <v>0.16036231463420192</v>
      </c>
      <c r="AZ22" s="45">
        <f t="shared" si="28"/>
        <v>0.16036231463420192</v>
      </c>
      <c r="BA22" s="45">
        <f t="shared" si="28"/>
        <v>0.16036231463420192</v>
      </c>
      <c r="BB22" s="45">
        <f t="shared" si="28"/>
        <v>0.16036231463420192</v>
      </c>
      <c r="BC22" s="45">
        <f t="shared" si="28"/>
        <v>0</v>
      </c>
      <c r="BD22" s="45">
        <f t="shared" si="28"/>
        <v>0</v>
      </c>
      <c r="BE22" s="45">
        <f t="shared" si="28"/>
        <v>0</v>
      </c>
      <c r="BF22" s="45">
        <f t="shared" si="28"/>
        <v>0</v>
      </c>
      <c r="BG22" s="45">
        <f t="shared" si="28"/>
        <v>0</v>
      </c>
      <c r="BH22" s="45">
        <f t="shared" si="28"/>
        <v>0</v>
      </c>
      <c r="BI22" s="45">
        <f t="shared" si="28"/>
        <v>0</v>
      </c>
      <c r="BJ22" s="45"/>
      <c r="BK22" s="45"/>
      <c r="BM22" s="45">
        <f t="shared" si="29"/>
        <v>0</v>
      </c>
      <c r="BN22" s="45">
        <f t="shared" si="29"/>
        <v>0</v>
      </c>
      <c r="BO22" s="45">
        <f t="shared" si="29"/>
        <v>0</v>
      </c>
      <c r="BP22" s="45">
        <f t="shared" si="29"/>
        <v>0</v>
      </c>
      <c r="BQ22" s="45">
        <f t="shared" si="29"/>
        <v>0</v>
      </c>
      <c r="BR22" s="45">
        <f t="shared" si="29"/>
        <v>0</v>
      </c>
      <c r="BS22" s="45">
        <f t="shared" si="29"/>
        <v>0</v>
      </c>
      <c r="BT22" s="45">
        <f t="shared" si="29"/>
        <v>0</v>
      </c>
      <c r="BU22" s="45">
        <f t="shared" si="29"/>
        <v>0</v>
      </c>
      <c r="BV22" s="45">
        <f t="shared" si="29"/>
        <v>0</v>
      </c>
      <c r="BW22" s="45">
        <f t="shared" si="30"/>
        <v>0</v>
      </c>
      <c r="BX22" s="45">
        <f t="shared" si="30"/>
        <v>0</v>
      </c>
      <c r="BY22" s="45">
        <f t="shared" si="30"/>
        <v>0</v>
      </c>
      <c r="BZ22" s="45">
        <f t="shared" si="30"/>
        <v>0</v>
      </c>
      <c r="CA22" s="45">
        <f t="shared" si="30"/>
        <v>0</v>
      </c>
      <c r="CB22" s="45">
        <f t="shared" si="30"/>
        <v>0</v>
      </c>
      <c r="CC22" s="45">
        <f t="shared" si="30"/>
        <v>0</v>
      </c>
      <c r="CD22" s="45">
        <f t="shared" si="30"/>
        <v>0</v>
      </c>
      <c r="CE22" s="45">
        <f t="shared" si="30"/>
        <v>0</v>
      </c>
      <c r="CF22" s="45">
        <f t="shared" si="30"/>
        <v>0</v>
      </c>
      <c r="CG22" s="45">
        <f t="shared" si="31"/>
        <v>0</v>
      </c>
      <c r="CH22" s="45">
        <f t="shared" si="31"/>
        <v>0</v>
      </c>
      <c r="CI22" s="45">
        <f t="shared" si="31"/>
        <v>0</v>
      </c>
      <c r="CJ22" s="45">
        <f t="shared" si="31"/>
        <v>0</v>
      </c>
      <c r="CK22" s="45">
        <f t="shared" si="31"/>
        <v>0</v>
      </c>
      <c r="CL22" s="45">
        <f t="shared" si="31"/>
        <v>0</v>
      </c>
      <c r="CM22" s="45">
        <f t="shared" si="31"/>
        <v>0</v>
      </c>
      <c r="CN22" s="45">
        <f t="shared" si="31"/>
        <v>0</v>
      </c>
      <c r="CO22" s="45">
        <f t="shared" si="31"/>
        <v>0</v>
      </c>
      <c r="CP22" s="45">
        <f t="shared" si="31"/>
        <v>0</v>
      </c>
      <c r="CQ22" s="45">
        <f t="shared" si="32"/>
        <v>0</v>
      </c>
      <c r="CR22" s="45">
        <f t="shared" si="32"/>
        <v>0</v>
      </c>
      <c r="CS22" s="45">
        <f t="shared" si="32"/>
        <v>0</v>
      </c>
      <c r="CT22" s="45">
        <f t="shared" si="32"/>
        <v>0</v>
      </c>
      <c r="CU22" s="45">
        <f t="shared" si="32"/>
        <v>0</v>
      </c>
      <c r="CV22" s="45">
        <f t="shared" si="32"/>
        <v>0</v>
      </c>
      <c r="CW22" s="45">
        <f t="shared" si="32"/>
        <v>0</v>
      </c>
      <c r="CX22" s="45">
        <f t="shared" si="32"/>
        <v>11.428571428571429</v>
      </c>
      <c r="CY22" s="45">
        <f t="shared" si="32"/>
        <v>11.428571428571429</v>
      </c>
      <c r="CZ22" s="45">
        <f t="shared" si="32"/>
        <v>11.428571428571429</v>
      </c>
      <c r="DA22" s="45">
        <f t="shared" si="32"/>
        <v>11.428571428571429</v>
      </c>
      <c r="DB22" s="45">
        <f t="shared" si="32"/>
        <v>11.428571428571429</v>
      </c>
      <c r="DC22" s="45">
        <f t="shared" si="32"/>
        <v>11.428571428571429</v>
      </c>
      <c r="DD22" s="45">
        <f t="shared" si="32"/>
        <v>11.428571428571429</v>
      </c>
      <c r="DF22" s="83">
        <f t="shared" si="12"/>
        <v>0</v>
      </c>
      <c r="DG22" s="83">
        <f t="shared" si="20"/>
        <v>0</v>
      </c>
      <c r="DH22" s="83">
        <f t="shared" si="20"/>
        <v>0</v>
      </c>
      <c r="DI22" s="83">
        <f t="shared" si="20"/>
        <v>0</v>
      </c>
      <c r="DJ22" s="83">
        <f t="shared" si="20"/>
        <v>0</v>
      </c>
      <c r="DK22" s="83">
        <f t="shared" si="20"/>
        <v>0</v>
      </c>
      <c r="DL22" s="83">
        <f t="shared" si="20"/>
        <v>0</v>
      </c>
      <c r="DM22" s="83">
        <f t="shared" si="20"/>
        <v>0</v>
      </c>
      <c r="DN22" s="83">
        <f t="shared" si="20"/>
        <v>0</v>
      </c>
      <c r="DO22" s="83">
        <f t="shared" si="20"/>
        <v>0</v>
      </c>
      <c r="DP22" s="83">
        <f t="shared" si="20"/>
        <v>0</v>
      </c>
      <c r="DQ22" s="83">
        <f t="shared" si="21"/>
        <v>0</v>
      </c>
      <c r="DR22" s="83">
        <f t="shared" si="21"/>
        <v>0</v>
      </c>
      <c r="DS22" s="83">
        <f t="shared" si="21"/>
        <v>0</v>
      </c>
      <c r="DT22" s="83">
        <f t="shared" si="21"/>
        <v>0</v>
      </c>
      <c r="DU22" s="83">
        <f t="shared" si="21"/>
        <v>0</v>
      </c>
      <c r="DV22" s="83">
        <f t="shared" si="21"/>
        <v>0</v>
      </c>
      <c r="DW22" s="83">
        <f t="shared" si="21"/>
        <v>0</v>
      </c>
      <c r="DX22" s="83">
        <f t="shared" si="21"/>
        <v>0</v>
      </c>
      <c r="DY22" s="83">
        <f t="shared" si="21"/>
        <v>0</v>
      </c>
      <c r="DZ22" s="83">
        <f t="shared" si="21"/>
        <v>0</v>
      </c>
      <c r="EA22" s="83">
        <f t="shared" si="22"/>
        <v>0</v>
      </c>
      <c r="EB22" s="83">
        <f t="shared" si="22"/>
        <v>0</v>
      </c>
      <c r="EC22" s="83">
        <f t="shared" si="22"/>
        <v>0</v>
      </c>
      <c r="ED22" s="83">
        <f t="shared" si="22"/>
        <v>0</v>
      </c>
      <c r="EE22" s="83">
        <f t="shared" si="22"/>
        <v>0</v>
      </c>
      <c r="EF22" s="83">
        <f t="shared" si="22"/>
        <v>0</v>
      </c>
      <c r="EG22" s="83">
        <f t="shared" si="22"/>
        <v>0</v>
      </c>
      <c r="EH22" s="83">
        <f t="shared" si="22"/>
        <v>0</v>
      </c>
      <c r="EI22" s="83">
        <f t="shared" si="22"/>
        <v>0</v>
      </c>
      <c r="EJ22" s="83">
        <f t="shared" si="22"/>
        <v>0</v>
      </c>
      <c r="EK22" s="83">
        <f t="shared" si="23"/>
        <v>0</v>
      </c>
      <c r="EL22" s="83">
        <f t="shared" si="23"/>
        <v>0</v>
      </c>
      <c r="EM22" s="83">
        <f t="shared" si="23"/>
        <v>0</v>
      </c>
      <c r="EN22" s="83">
        <f t="shared" si="23"/>
        <v>0</v>
      </c>
      <c r="EO22" s="83">
        <f t="shared" si="23"/>
        <v>0</v>
      </c>
      <c r="EP22" s="83">
        <f t="shared" si="23"/>
        <v>0</v>
      </c>
      <c r="EQ22" s="83">
        <f t="shared" si="23"/>
        <v>800</v>
      </c>
      <c r="ER22" s="83">
        <f t="shared" si="23"/>
        <v>0</v>
      </c>
      <c r="ES22" s="83">
        <f t="shared" si="23"/>
        <v>0</v>
      </c>
      <c r="ET22" s="83">
        <f t="shared" si="23"/>
        <v>0</v>
      </c>
      <c r="EU22" s="83">
        <f t="shared" si="19"/>
        <v>0</v>
      </c>
      <c r="EV22" s="83">
        <f t="shared" si="19"/>
        <v>0</v>
      </c>
      <c r="EW22" s="83">
        <f t="shared" si="19"/>
        <v>0</v>
      </c>
    </row>
    <row r="23" spans="1:153" ht="12.75" outlineLevel="1">
      <c r="A23" s="207">
        <v>13</v>
      </c>
      <c r="B23" s="218">
        <v>6</v>
      </c>
      <c r="C23" s="208">
        <v>95</v>
      </c>
      <c r="D23" s="192"/>
      <c r="E23" s="262">
        <v>1976</v>
      </c>
      <c r="F23" s="268">
        <v>70</v>
      </c>
      <c r="G23" s="246">
        <f t="shared" si="14"/>
        <v>3040</v>
      </c>
      <c r="H23" s="221">
        <f t="shared" si="0"/>
        <v>3.261999629277892</v>
      </c>
      <c r="I23" s="229"/>
      <c r="J23" s="45">
        <f t="shared" si="15"/>
        <v>3.261999629277892</v>
      </c>
      <c r="K23" s="194">
        <f t="shared" si="1"/>
        <v>38</v>
      </c>
      <c r="L23" s="193">
        <f t="shared" si="16"/>
        <v>0.08584209550731295</v>
      </c>
      <c r="M23" s="194">
        <f t="shared" si="2"/>
        <v>38</v>
      </c>
      <c r="N23" s="50">
        <f t="shared" si="17"/>
        <v>3.261999629277892</v>
      </c>
      <c r="O23" s="217">
        <v>400</v>
      </c>
      <c r="P23" s="224">
        <f t="shared" si="24"/>
        <v>2046</v>
      </c>
      <c r="Q23" s="228">
        <f t="shared" si="18"/>
        <v>3610</v>
      </c>
      <c r="R23" s="45">
        <f t="shared" si="25"/>
        <v>0.08584209550731295</v>
      </c>
      <c r="S23" s="45">
        <f t="shared" si="25"/>
        <v>0.08584209550731295</v>
      </c>
      <c r="T23" s="45">
        <f t="shared" si="25"/>
        <v>0.08584209550731295</v>
      </c>
      <c r="U23" s="45">
        <f t="shared" si="25"/>
        <v>0.08584209550731295</v>
      </c>
      <c r="V23" s="45">
        <f t="shared" si="25"/>
        <v>0.08584209550731295</v>
      </c>
      <c r="W23" s="45">
        <f t="shared" si="25"/>
        <v>0.08584209550731295</v>
      </c>
      <c r="X23" s="45">
        <f t="shared" si="25"/>
        <v>0.08584209550731295</v>
      </c>
      <c r="Y23" s="45">
        <f t="shared" si="25"/>
        <v>0.08584209550731295</v>
      </c>
      <c r="Z23" s="45">
        <f t="shared" si="25"/>
        <v>0.08584209550731295</v>
      </c>
      <c r="AA23" s="45">
        <f t="shared" si="25"/>
        <v>0.08584209550731295</v>
      </c>
      <c r="AB23" s="45">
        <f t="shared" si="26"/>
        <v>0.08584209550731295</v>
      </c>
      <c r="AC23" s="45">
        <f t="shared" si="26"/>
        <v>0.08584209550731295</v>
      </c>
      <c r="AD23" s="45">
        <f t="shared" si="26"/>
        <v>0.08584209550731295</v>
      </c>
      <c r="AE23" s="45">
        <f t="shared" si="26"/>
        <v>0.08584209550731295</v>
      </c>
      <c r="AF23" s="45">
        <f t="shared" si="26"/>
        <v>0.08584209550731295</v>
      </c>
      <c r="AG23" s="45">
        <f t="shared" si="26"/>
        <v>0.08584209550731295</v>
      </c>
      <c r="AH23" s="45">
        <f t="shared" si="26"/>
        <v>0.08584209550731295</v>
      </c>
      <c r="AI23" s="45">
        <f t="shared" si="26"/>
        <v>0.08584209550731295</v>
      </c>
      <c r="AJ23" s="45">
        <f t="shared" si="26"/>
        <v>0.08584209550731295</v>
      </c>
      <c r="AK23" s="45">
        <f t="shared" si="26"/>
        <v>0.08584209550731295</v>
      </c>
      <c r="AL23" s="45">
        <f t="shared" si="27"/>
        <v>0.08584209550731295</v>
      </c>
      <c r="AM23" s="45">
        <f t="shared" si="27"/>
        <v>0.08584209550731295</v>
      </c>
      <c r="AN23" s="45">
        <f t="shared" si="27"/>
        <v>0.08584209550731295</v>
      </c>
      <c r="AO23" s="45">
        <f t="shared" si="27"/>
        <v>0.08584209550731295</v>
      </c>
      <c r="AP23" s="45">
        <f t="shared" si="27"/>
        <v>0.08584209550731295</v>
      </c>
      <c r="AQ23" s="45">
        <f t="shared" si="27"/>
        <v>0.08584209550731295</v>
      </c>
      <c r="AR23" s="45">
        <f t="shared" si="27"/>
        <v>0.08584209550731295</v>
      </c>
      <c r="AS23" s="45">
        <f t="shared" si="27"/>
        <v>0.08584209550731295</v>
      </c>
      <c r="AT23" s="45">
        <f t="shared" si="27"/>
        <v>0.08584209550731295</v>
      </c>
      <c r="AU23" s="45">
        <f t="shared" si="27"/>
        <v>0.08584209550731295</v>
      </c>
      <c r="AV23" s="45">
        <f t="shared" si="28"/>
        <v>0.08584209550731295</v>
      </c>
      <c r="AW23" s="45">
        <f t="shared" si="28"/>
        <v>0.08584209550731295</v>
      </c>
      <c r="AX23" s="45">
        <f t="shared" si="28"/>
        <v>0.08584209550731295</v>
      </c>
      <c r="AY23" s="45">
        <f t="shared" si="28"/>
        <v>0.08584209550731295</v>
      </c>
      <c r="AZ23" s="45">
        <f t="shared" si="28"/>
        <v>0.08584209550731295</v>
      </c>
      <c r="BA23" s="45">
        <f t="shared" si="28"/>
        <v>0.08584209550731295</v>
      </c>
      <c r="BB23" s="45">
        <f t="shared" si="28"/>
        <v>0.08584209550731295</v>
      </c>
      <c r="BC23" s="45">
        <f t="shared" si="28"/>
        <v>0.08584209550731295</v>
      </c>
      <c r="BD23" s="45">
        <f t="shared" si="28"/>
        <v>0</v>
      </c>
      <c r="BE23" s="45">
        <f t="shared" si="28"/>
        <v>0</v>
      </c>
      <c r="BF23" s="45">
        <f t="shared" si="28"/>
        <v>0</v>
      </c>
      <c r="BG23" s="45">
        <f t="shared" si="28"/>
        <v>0</v>
      </c>
      <c r="BH23" s="45">
        <f t="shared" si="28"/>
        <v>0</v>
      </c>
      <c r="BI23" s="45">
        <f t="shared" si="28"/>
        <v>0</v>
      </c>
      <c r="BJ23" s="45"/>
      <c r="BK23" s="45"/>
      <c r="BM23" s="45">
        <f t="shared" si="29"/>
        <v>0</v>
      </c>
      <c r="BN23" s="45">
        <f t="shared" si="29"/>
        <v>0</v>
      </c>
      <c r="BO23" s="45">
        <f t="shared" si="29"/>
        <v>0</v>
      </c>
      <c r="BP23" s="45">
        <f t="shared" si="29"/>
        <v>0</v>
      </c>
      <c r="BQ23" s="45">
        <f t="shared" si="29"/>
        <v>0</v>
      </c>
      <c r="BR23" s="45">
        <f t="shared" si="29"/>
        <v>0</v>
      </c>
      <c r="BS23" s="45">
        <f t="shared" si="29"/>
        <v>0</v>
      </c>
      <c r="BT23" s="45">
        <f t="shared" si="29"/>
        <v>0</v>
      </c>
      <c r="BU23" s="45">
        <f t="shared" si="29"/>
        <v>0</v>
      </c>
      <c r="BV23" s="45">
        <f t="shared" si="29"/>
        <v>0</v>
      </c>
      <c r="BW23" s="45">
        <f t="shared" si="30"/>
        <v>0</v>
      </c>
      <c r="BX23" s="45">
        <f t="shared" si="30"/>
        <v>0</v>
      </c>
      <c r="BY23" s="45">
        <f t="shared" si="30"/>
        <v>0</v>
      </c>
      <c r="BZ23" s="45">
        <f t="shared" si="30"/>
        <v>0</v>
      </c>
      <c r="CA23" s="45">
        <f t="shared" si="30"/>
        <v>0</v>
      </c>
      <c r="CB23" s="45">
        <f t="shared" si="30"/>
        <v>0</v>
      </c>
      <c r="CC23" s="45">
        <f t="shared" si="30"/>
        <v>0</v>
      </c>
      <c r="CD23" s="45">
        <f t="shared" si="30"/>
        <v>0</v>
      </c>
      <c r="CE23" s="45">
        <f t="shared" si="30"/>
        <v>0</v>
      </c>
      <c r="CF23" s="45">
        <f t="shared" si="30"/>
        <v>0</v>
      </c>
      <c r="CG23" s="45">
        <f t="shared" si="31"/>
        <v>0</v>
      </c>
      <c r="CH23" s="45">
        <f t="shared" si="31"/>
        <v>0</v>
      </c>
      <c r="CI23" s="45">
        <f t="shared" si="31"/>
        <v>0</v>
      </c>
      <c r="CJ23" s="45">
        <f t="shared" si="31"/>
        <v>0</v>
      </c>
      <c r="CK23" s="45">
        <f t="shared" si="31"/>
        <v>0</v>
      </c>
      <c r="CL23" s="45">
        <f t="shared" si="31"/>
        <v>0</v>
      </c>
      <c r="CM23" s="45">
        <f t="shared" si="31"/>
        <v>0</v>
      </c>
      <c r="CN23" s="45">
        <f t="shared" si="31"/>
        <v>0</v>
      </c>
      <c r="CO23" s="45">
        <f t="shared" si="31"/>
        <v>0</v>
      </c>
      <c r="CP23" s="45">
        <f t="shared" si="31"/>
        <v>0</v>
      </c>
      <c r="CQ23" s="45">
        <f t="shared" si="32"/>
        <v>0</v>
      </c>
      <c r="CR23" s="45">
        <f t="shared" si="32"/>
        <v>0</v>
      </c>
      <c r="CS23" s="45">
        <f t="shared" si="32"/>
        <v>0</v>
      </c>
      <c r="CT23" s="45">
        <f t="shared" si="32"/>
        <v>0</v>
      </c>
      <c r="CU23" s="45">
        <f t="shared" si="32"/>
        <v>0</v>
      </c>
      <c r="CV23" s="45">
        <f t="shared" si="32"/>
        <v>0</v>
      </c>
      <c r="CW23" s="45">
        <f t="shared" si="32"/>
        <v>0</v>
      </c>
      <c r="CX23" s="45">
        <f t="shared" si="32"/>
        <v>0</v>
      </c>
      <c r="CY23" s="45">
        <f t="shared" si="32"/>
        <v>5.714285714285714</v>
      </c>
      <c r="CZ23" s="45">
        <f t="shared" si="32"/>
        <v>5.714285714285714</v>
      </c>
      <c r="DA23" s="45">
        <f t="shared" si="32"/>
        <v>5.714285714285714</v>
      </c>
      <c r="DB23" s="45">
        <f t="shared" si="32"/>
        <v>5.714285714285714</v>
      </c>
      <c r="DC23" s="45">
        <f t="shared" si="32"/>
        <v>5.714285714285714</v>
      </c>
      <c r="DD23" s="45">
        <f t="shared" si="32"/>
        <v>5.714285714285714</v>
      </c>
      <c r="DF23" s="83">
        <f t="shared" si="12"/>
        <v>0</v>
      </c>
      <c r="DG23" s="83">
        <f aca="true" t="shared" si="33" ref="DG23:EW28">IF($P23=DG$8,$O23,0)</f>
        <v>0</v>
      </c>
      <c r="DH23" s="83">
        <f t="shared" si="33"/>
        <v>0</v>
      </c>
      <c r="DI23" s="83">
        <f t="shared" si="33"/>
        <v>0</v>
      </c>
      <c r="DJ23" s="83">
        <f t="shared" si="33"/>
        <v>0</v>
      </c>
      <c r="DK23" s="83">
        <f t="shared" si="33"/>
        <v>0</v>
      </c>
      <c r="DL23" s="83">
        <f t="shared" si="33"/>
        <v>0</v>
      </c>
      <c r="DM23" s="83">
        <f t="shared" si="33"/>
        <v>0</v>
      </c>
      <c r="DN23" s="83">
        <f t="shared" si="33"/>
        <v>0</v>
      </c>
      <c r="DO23" s="83">
        <f t="shared" si="33"/>
        <v>0</v>
      </c>
      <c r="DP23" s="83">
        <f t="shared" si="33"/>
        <v>0</v>
      </c>
      <c r="DQ23" s="83">
        <f t="shared" si="33"/>
        <v>0</v>
      </c>
      <c r="DR23" s="83">
        <f t="shared" si="33"/>
        <v>0</v>
      </c>
      <c r="DS23" s="83">
        <f t="shared" si="33"/>
        <v>0</v>
      </c>
      <c r="DT23" s="83">
        <f t="shared" si="33"/>
        <v>0</v>
      </c>
      <c r="DU23" s="83">
        <f t="shared" si="33"/>
        <v>0</v>
      </c>
      <c r="DV23" s="83">
        <f t="shared" si="33"/>
        <v>0</v>
      </c>
      <c r="DW23" s="83">
        <f t="shared" si="33"/>
        <v>0</v>
      </c>
      <c r="DX23" s="83">
        <f t="shared" si="33"/>
        <v>0</v>
      </c>
      <c r="DY23" s="83">
        <f t="shared" si="33"/>
        <v>0</v>
      </c>
      <c r="DZ23" s="83">
        <f t="shared" si="33"/>
        <v>0</v>
      </c>
      <c r="EA23" s="83">
        <f t="shared" si="33"/>
        <v>0</v>
      </c>
      <c r="EB23" s="83">
        <f t="shared" si="33"/>
        <v>0</v>
      </c>
      <c r="EC23" s="83">
        <f t="shared" si="33"/>
        <v>0</v>
      </c>
      <c r="ED23" s="83">
        <f t="shared" si="33"/>
        <v>0</v>
      </c>
      <c r="EE23" s="83">
        <f t="shared" si="33"/>
        <v>0</v>
      </c>
      <c r="EF23" s="83">
        <f t="shared" si="33"/>
        <v>0</v>
      </c>
      <c r="EG23" s="83">
        <f t="shared" si="33"/>
        <v>0</v>
      </c>
      <c r="EH23" s="83">
        <f t="shared" si="33"/>
        <v>0</v>
      </c>
      <c r="EI23" s="83">
        <f t="shared" si="33"/>
        <v>0</v>
      </c>
      <c r="EJ23" s="83">
        <f t="shared" si="33"/>
        <v>0</v>
      </c>
      <c r="EK23" s="83">
        <f t="shared" si="33"/>
        <v>0</v>
      </c>
      <c r="EL23" s="83">
        <f t="shared" si="33"/>
        <v>0</v>
      </c>
      <c r="EM23" s="83">
        <f t="shared" si="33"/>
        <v>0</v>
      </c>
      <c r="EN23" s="83">
        <f t="shared" si="33"/>
        <v>0</v>
      </c>
      <c r="EO23" s="83">
        <f t="shared" si="33"/>
        <v>0</v>
      </c>
      <c r="EP23" s="83">
        <f t="shared" si="33"/>
        <v>0</v>
      </c>
      <c r="EQ23" s="83">
        <f t="shared" si="33"/>
        <v>0</v>
      </c>
      <c r="ER23" s="83">
        <f t="shared" si="33"/>
        <v>400</v>
      </c>
      <c r="ES23" s="83">
        <f t="shared" si="33"/>
        <v>0</v>
      </c>
      <c r="ET23" s="83">
        <f t="shared" si="33"/>
        <v>0</v>
      </c>
      <c r="EU23" s="83">
        <f t="shared" si="33"/>
        <v>0</v>
      </c>
      <c r="EV23" s="83">
        <f t="shared" si="33"/>
        <v>0</v>
      </c>
      <c r="EW23" s="83">
        <f t="shared" si="33"/>
        <v>0</v>
      </c>
    </row>
    <row r="24" spans="1:153" ht="12.75" outlineLevel="1">
      <c r="A24" s="207">
        <v>14</v>
      </c>
      <c r="B24" s="218">
        <v>7</v>
      </c>
      <c r="C24" s="208">
        <v>264</v>
      </c>
      <c r="D24" s="192"/>
      <c r="E24" s="262">
        <v>1977</v>
      </c>
      <c r="F24" s="268">
        <v>70</v>
      </c>
      <c r="G24" s="246">
        <f t="shared" si="14"/>
        <v>8184</v>
      </c>
      <c r="H24" s="221">
        <f t="shared" si="0"/>
        <v>10.072139206191384</v>
      </c>
      <c r="I24" s="229"/>
      <c r="J24" s="45">
        <f t="shared" si="15"/>
        <v>10.072139206191384</v>
      </c>
      <c r="K24" s="194">
        <f t="shared" si="1"/>
        <v>39</v>
      </c>
      <c r="L24" s="193">
        <f t="shared" si="16"/>
        <v>0.25825997964593295</v>
      </c>
      <c r="M24" s="194">
        <f t="shared" si="2"/>
        <v>39</v>
      </c>
      <c r="N24" s="50">
        <f t="shared" si="17"/>
        <v>10.072139206191386</v>
      </c>
      <c r="O24" s="217">
        <v>900</v>
      </c>
      <c r="P24" s="224">
        <f t="shared" si="24"/>
        <v>2047</v>
      </c>
      <c r="Q24" s="228">
        <f t="shared" si="18"/>
        <v>10296</v>
      </c>
      <c r="R24" s="45">
        <f t="shared" si="25"/>
        <v>0.25825997964593295</v>
      </c>
      <c r="S24" s="45">
        <f t="shared" si="25"/>
        <v>0.25825997964593295</v>
      </c>
      <c r="T24" s="45">
        <f t="shared" si="25"/>
        <v>0.25825997964593295</v>
      </c>
      <c r="U24" s="45">
        <f t="shared" si="25"/>
        <v>0.25825997964593295</v>
      </c>
      <c r="V24" s="45">
        <f t="shared" si="25"/>
        <v>0.25825997964593295</v>
      </c>
      <c r="W24" s="45">
        <f t="shared" si="25"/>
        <v>0.25825997964593295</v>
      </c>
      <c r="X24" s="45">
        <f t="shared" si="25"/>
        <v>0.25825997964593295</v>
      </c>
      <c r="Y24" s="45">
        <f t="shared" si="25"/>
        <v>0.25825997964593295</v>
      </c>
      <c r="Z24" s="45">
        <f t="shared" si="25"/>
        <v>0.25825997964593295</v>
      </c>
      <c r="AA24" s="45">
        <f t="shared" si="25"/>
        <v>0.25825997964593295</v>
      </c>
      <c r="AB24" s="45">
        <f t="shared" si="26"/>
        <v>0.25825997964593295</v>
      </c>
      <c r="AC24" s="45">
        <f t="shared" si="26"/>
        <v>0.25825997964593295</v>
      </c>
      <c r="AD24" s="45">
        <f t="shared" si="26"/>
        <v>0.25825997964593295</v>
      </c>
      <c r="AE24" s="45">
        <f t="shared" si="26"/>
        <v>0.25825997964593295</v>
      </c>
      <c r="AF24" s="45">
        <f t="shared" si="26"/>
        <v>0.25825997964593295</v>
      </c>
      <c r="AG24" s="45">
        <f t="shared" si="26"/>
        <v>0.25825997964593295</v>
      </c>
      <c r="AH24" s="45">
        <f t="shared" si="26"/>
        <v>0.25825997964593295</v>
      </c>
      <c r="AI24" s="45">
        <f t="shared" si="26"/>
        <v>0.25825997964593295</v>
      </c>
      <c r="AJ24" s="45">
        <f t="shared" si="26"/>
        <v>0.25825997964593295</v>
      </c>
      <c r="AK24" s="45">
        <f t="shared" si="26"/>
        <v>0.25825997964593295</v>
      </c>
      <c r="AL24" s="45">
        <f t="shared" si="27"/>
        <v>0.25825997964593295</v>
      </c>
      <c r="AM24" s="45">
        <f t="shared" si="27"/>
        <v>0.25825997964593295</v>
      </c>
      <c r="AN24" s="45">
        <f t="shared" si="27"/>
        <v>0.25825997964593295</v>
      </c>
      <c r="AO24" s="45">
        <f t="shared" si="27"/>
        <v>0.25825997964593295</v>
      </c>
      <c r="AP24" s="45">
        <f t="shared" si="27"/>
        <v>0.25825997964593295</v>
      </c>
      <c r="AQ24" s="45">
        <f t="shared" si="27"/>
        <v>0.25825997964593295</v>
      </c>
      <c r="AR24" s="45">
        <f t="shared" si="27"/>
        <v>0.25825997964593295</v>
      </c>
      <c r="AS24" s="45">
        <f t="shared" si="27"/>
        <v>0.25825997964593295</v>
      </c>
      <c r="AT24" s="45">
        <f t="shared" si="27"/>
        <v>0.25825997964593295</v>
      </c>
      <c r="AU24" s="45">
        <f t="shared" si="27"/>
        <v>0.25825997964593295</v>
      </c>
      <c r="AV24" s="45">
        <f t="shared" si="28"/>
        <v>0.25825997964593295</v>
      </c>
      <c r="AW24" s="45">
        <f t="shared" si="28"/>
        <v>0.25825997964593295</v>
      </c>
      <c r="AX24" s="45">
        <f t="shared" si="28"/>
        <v>0.25825997964593295</v>
      </c>
      <c r="AY24" s="45">
        <f t="shared" si="28"/>
        <v>0.25825997964593295</v>
      </c>
      <c r="AZ24" s="45">
        <f t="shared" si="28"/>
        <v>0.25825997964593295</v>
      </c>
      <c r="BA24" s="45">
        <f t="shared" si="28"/>
        <v>0.25825997964593295</v>
      </c>
      <c r="BB24" s="45">
        <f t="shared" si="28"/>
        <v>0.25825997964593295</v>
      </c>
      <c r="BC24" s="45">
        <f t="shared" si="28"/>
        <v>0.25825997964593295</v>
      </c>
      <c r="BD24" s="45">
        <f t="shared" si="28"/>
        <v>0.25825997964593295</v>
      </c>
      <c r="BE24" s="45">
        <f t="shared" si="28"/>
        <v>0</v>
      </c>
      <c r="BF24" s="45">
        <f t="shared" si="28"/>
        <v>0</v>
      </c>
      <c r="BG24" s="45">
        <f t="shared" si="28"/>
        <v>0</v>
      </c>
      <c r="BH24" s="45">
        <f t="shared" si="28"/>
        <v>0</v>
      </c>
      <c r="BI24" s="45">
        <f t="shared" si="28"/>
        <v>0</v>
      </c>
      <c r="BJ24" s="45"/>
      <c r="BK24" s="45"/>
      <c r="BM24" s="45">
        <f t="shared" si="29"/>
        <v>0</v>
      </c>
      <c r="BN24" s="45">
        <f t="shared" si="29"/>
        <v>0</v>
      </c>
      <c r="BO24" s="45">
        <f t="shared" si="29"/>
        <v>0</v>
      </c>
      <c r="BP24" s="45">
        <f t="shared" si="29"/>
        <v>0</v>
      </c>
      <c r="BQ24" s="45">
        <f t="shared" si="29"/>
        <v>0</v>
      </c>
      <c r="BR24" s="45">
        <f t="shared" si="29"/>
        <v>0</v>
      </c>
      <c r="BS24" s="45">
        <f t="shared" si="29"/>
        <v>0</v>
      </c>
      <c r="BT24" s="45">
        <f t="shared" si="29"/>
        <v>0</v>
      </c>
      <c r="BU24" s="45">
        <f t="shared" si="29"/>
        <v>0</v>
      </c>
      <c r="BV24" s="45">
        <f t="shared" si="29"/>
        <v>0</v>
      </c>
      <c r="BW24" s="45">
        <f t="shared" si="30"/>
        <v>0</v>
      </c>
      <c r="BX24" s="45">
        <f t="shared" si="30"/>
        <v>0</v>
      </c>
      <c r="BY24" s="45">
        <f t="shared" si="30"/>
        <v>0</v>
      </c>
      <c r="BZ24" s="45">
        <f t="shared" si="30"/>
        <v>0</v>
      </c>
      <c r="CA24" s="45">
        <f t="shared" si="30"/>
        <v>0</v>
      </c>
      <c r="CB24" s="45">
        <f t="shared" si="30"/>
        <v>0</v>
      </c>
      <c r="CC24" s="45">
        <f t="shared" si="30"/>
        <v>0</v>
      </c>
      <c r="CD24" s="45">
        <f t="shared" si="30"/>
        <v>0</v>
      </c>
      <c r="CE24" s="45">
        <f t="shared" si="30"/>
        <v>0</v>
      </c>
      <c r="CF24" s="45">
        <f t="shared" si="30"/>
        <v>0</v>
      </c>
      <c r="CG24" s="45">
        <f t="shared" si="31"/>
        <v>0</v>
      </c>
      <c r="CH24" s="45">
        <f t="shared" si="31"/>
        <v>0</v>
      </c>
      <c r="CI24" s="45">
        <f t="shared" si="31"/>
        <v>0</v>
      </c>
      <c r="CJ24" s="45">
        <f t="shared" si="31"/>
        <v>0</v>
      </c>
      <c r="CK24" s="45">
        <f t="shared" si="31"/>
        <v>0</v>
      </c>
      <c r="CL24" s="45">
        <f t="shared" si="31"/>
        <v>0</v>
      </c>
      <c r="CM24" s="45">
        <f t="shared" si="31"/>
        <v>0</v>
      </c>
      <c r="CN24" s="45">
        <f t="shared" si="31"/>
        <v>0</v>
      </c>
      <c r="CO24" s="45">
        <f t="shared" si="31"/>
        <v>0</v>
      </c>
      <c r="CP24" s="45">
        <f t="shared" si="31"/>
        <v>0</v>
      </c>
      <c r="CQ24" s="45">
        <f t="shared" si="32"/>
        <v>0</v>
      </c>
      <c r="CR24" s="45">
        <f t="shared" si="32"/>
        <v>0</v>
      </c>
      <c r="CS24" s="45">
        <f t="shared" si="32"/>
        <v>0</v>
      </c>
      <c r="CT24" s="45">
        <f t="shared" si="32"/>
        <v>0</v>
      </c>
      <c r="CU24" s="45">
        <f t="shared" si="32"/>
        <v>0</v>
      </c>
      <c r="CV24" s="45">
        <f t="shared" si="32"/>
        <v>0</v>
      </c>
      <c r="CW24" s="45">
        <f t="shared" si="32"/>
        <v>0</v>
      </c>
      <c r="CX24" s="45">
        <f t="shared" si="32"/>
        <v>0</v>
      </c>
      <c r="CY24" s="45">
        <f t="shared" si="32"/>
        <v>0</v>
      </c>
      <c r="CZ24" s="45">
        <f t="shared" si="32"/>
        <v>12.857142857142858</v>
      </c>
      <c r="DA24" s="45">
        <f t="shared" si="32"/>
        <v>12.857142857142858</v>
      </c>
      <c r="DB24" s="45">
        <f t="shared" si="32"/>
        <v>12.857142857142858</v>
      </c>
      <c r="DC24" s="45">
        <f t="shared" si="32"/>
        <v>12.857142857142858</v>
      </c>
      <c r="DD24" s="45">
        <f t="shared" si="32"/>
        <v>12.857142857142858</v>
      </c>
      <c r="DF24" s="83">
        <f t="shared" si="12"/>
        <v>0</v>
      </c>
      <c r="DG24" s="83">
        <f t="shared" si="33"/>
        <v>0</v>
      </c>
      <c r="DH24" s="83">
        <f t="shared" si="33"/>
        <v>0</v>
      </c>
      <c r="DI24" s="83">
        <f t="shared" si="33"/>
        <v>0</v>
      </c>
      <c r="DJ24" s="83">
        <f t="shared" si="33"/>
        <v>0</v>
      </c>
      <c r="DK24" s="83">
        <f t="shared" si="33"/>
        <v>0</v>
      </c>
      <c r="DL24" s="83">
        <f t="shared" si="33"/>
        <v>0</v>
      </c>
      <c r="DM24" s="83">
        <f t="shared" si="33"/>
        <v>0</v>
      </c>
      <c r="DN24" s="83">
        <f t="shared" si="33"/>
        <v>0</v>
      </c>
      <c r="DO24" s="83">
        <f t="shared" si="33"/>
        <v>0</v>
      </c>
      <c r="DP24" s="83">
        <f t="shared" si="33"/>
        <v>0</v>
      </c>
      <c r="DQ24" s="83">
        <f t="shared" si="33"/>
        <v>0</v>
      </c>
      <c r="DR24" s="83">
        <f t="shared" si="33"/>
        <v>0</v>
      </c>
      <c r="DS24" s="83">
        <f t="shared" si="33"/>
        <v>0</v>
      </c>
      <c r="DT24" s="83">
        <f t="shared" si="33"/>
        <v>0</v>
      </c>
      <c r="DU24" s="83">
        <f t="shared" si="33"/>
        <v>0</v>
      </c>
      <c r="DV24" s="83">
        <f t="shared" si="33"/>
        <v>0</v>
      </c>
      <c r="DW24" s="83">
        <f t="shared" si="33"/>
        <v>0</v>
      </c>
      <c r="DX24" s="83">
        <f t="shared" si="33"/>
        <v>0</v>
      </c>
      <c r="DY24" s="83">
        <f t="shared" si="33"/>
        <v>0</v>
      </c>
      <c r="DZ24" s="83">
        <f t="shared" si="33"/>
        <v>0</v>
      </c>
      <c r="EA24" s="83">
        <f t="shared" si="33"/>
        <v>0</v>
      </c>
      <c r="EB24" s="83">
        <f t="shared" si="33"/>
        <v>0</v>
      </c>
      <c r="EC24" s="83">
        <f t="shared" si="33"/>
        <v>0</v>
      </c>
      <c r="ED24" s="83">
        <f t="shared" si="33"/>
        <v>0</v>
      </c>
      <c r="EE24" s="83">
        <f t="shared" si="33"/>
        <v>0</v>
      </c>
      <c r="EF24" s="83">
        <f t="shared" si="33"/>
        <v>0</v>
      </c>
      <c r="EG24" s="83">
        <f t="shared" si="33"/>
        <v>0</v>
      </c>
      <c r="EH24" s="83">
        <f t="shared" si="33"/>
        <v>0</v>
      </c>
      <c r="EI24" s="83">
        <f t="shared" si="33"/>
        <v>0</v>
      </c>
      <c r="EJ24" s="83">
        <f t="shared" si="33"/>
        <v>0</v>
      </c>
      <c r="EK24" s="83">
        <f t="shared" si="33"/>
        <v>0</v>
      </c>
      <c r="EL24" s="83">
        <f t="shared" si="33"/>
        <v>0</v>
      </c>
      <c r="EM24" s="83">
        <f t="shared" si="33"/>
        <v>0</v>
      </c>
      <c r="EN24" s="83">
        <f t="shared" si="33"/>
        <v>0</v>
      </c>
      <c r="EO24" s="83">
        <f t="shared" si="33"/>
        <v>0</v>
      </c>
      <c r="EP24" s="83">
        <f t="shared" si="33"/>
        <v>0</v>
      </c>
      <c r="EQ24" s="83">
        <f t="shared" si="33"/>
        <v>0</v>
      </c>
      <c r="ER24" s="83">
        <f t="shared" si="33"/>
        <v>0</v>
      </c>
      <c r="ES24" s="83">
        <f t="shared" si="33"/>
        <v>900</v>
      </c>
      <c r="ET24" s="83">
        <f t="shared" si="33"/>
        <v>0</v>
      </c>
      <c r="EU24" s="83">
        <f t="shared" si="33"/>
        <v>0</v>
      </c>
      <c r="EV24" s="83">
        <f t="shared" si="33"/>
        <v>0</v>
      </c>
      <c r="EW24" s="83">
        <f t="shared" si="33"/>
        <v>0</v>
      </c>
    </row>
    <row r="25" spans="1:153" ht="12.75" outlineLevel="1">
      <c r="A25" s="207">
        <v>15</v>
      </c>
      <c r="B25" s="218">
        <v>8</v>
      </c>
      <c r="C25" s="208">
        <v>73</v>
      </c>
      <c r="D25" s="192"/>
      <c r="E25" s="262">
        <v>1978</v>
      </c>
      <c r="F25" s="268">
        <v>70</v>
      </c>
      <c r="G25" s="246">
        <f t="shared" si="14"/>
        <v>2190</v>
      </c>
      <c r="H25" s="221">
        <f t="shared" si="0"/>
        <v>3.0945545540907875</v>
      </c>
      <c r="I25" s="229"/>
      <c r="J25" s="45">
        <f t="shared" si="15"/>
        <v>3.0945545540907875</v>
      </c>
      <c r="K25" s="194">
        <f t="shared" si="1"/>
        <v>40</v>
      </c>
      <c r="L25" s="193">
        <f t="shared" si="16"/>
        <v>0.07736386385226969</v>
      </c>
      <c r="M25" s="194">
        <f t="shared" si="2"/>
        <v>40</v>
      </c>
      <c r="N25" s="50">
        <f t="shared" si="17"/>
        <v>3.0945545540907875</v>
      </c>
      <c r="O25" s="217">
        <v>230</v>
      </c>
      <c r="P25" s="224">
        <f t="shared" si="24"/>
        <v>2048</v>
      </c>
      <c r="Q25" s="228">
        <f t="shared" si="18"/>
        <v>2920</v>
      </c>
      <c r="R25" s="45">
        <f t="shared" si="25"/>
        <v>0.07736386385226969</v>
      </c>
      <c r="S25" s="45">
        <f t="shared" si="25"/>
        <v>0.07736386385226969</v>
      </c>
      <c r="T25" s="45">
        <f t="shared" si="25"/>
        <v>0.07736386385226969</v>
      </c>
      <c r="U25" s="45">
        <f t="shared" si="25"/>
        <v>0.07736386385226969</v>
      </c>
      <c r="V25" s="45">
        <f t="shared" si="25"/>
        <v>0.07736386385226969</v>
      </c>
      <c r="W25" s="45">
        <f t="shared" si="25"/>
        <v>0.07736386385226969</v>
      </c>
      <c r="X25" s="45">
        <f t="shared" si="25"/>
        <v>0.07736386385226969</v>
      </c>
      <c r="Y25" s="45">
        <f t="shared" si="25"/>
        <v>0.07736386385226969</v>
      </c>
      <c r="Z25" s="45">
        <f t="shared" si="25"/>
        <v>0.07736386385226969</v>
      </c>
      <c r="AA25" s="45">
        <f t="shared" si="25"/>
        <v>0.07736386385226969</v>
      </c>
      <c r="AB25" s="45">
        <f t="shared" si="26"/>
        <v>0.07736386385226969</v>
      </c>
      <c r="AC25" s="45">
        <f t="shared" si="26"/>
        <v>0.07736386385226969</v>
      </c>
      <c r="AD25" s="45">
        <f t="shared" si="26"/>
        <v>0.07736386385226969</v>
      </c>
      <c r="AE25" s="45">
        <f t="shared" si="26"/>
        <v>0.07736386385226969</v>
      </c>
      <c r="AF25" s="45">
        <f t="shared" si="26"/>
        <v>0.07736386385226969</v>
      </c>
      <c r="AG25" s="45">
        <f t="shared" si="26"/>
        <v>0.07736386385226969</v>
      </c>
      <c r="AH25" s="45">
        <f t="shared" si="26"/>
        <v>0.07736386385226969</v>
      </c>
      <c r="AI25" s="45">
        <f t="shared" si="26"/>
        <v>0.07736386385226969</v>
      </c>
      <c r="AJ25" s="45">
        <f t="shared" si="26"/>
        <v>0.07736386385226969</v>
      </c>
      <c r="AK25" s="45">
        <f t="shared" si="26"/>
        <v>0.07736386385226969</v>
      </c>
      <c r="AL25" s="45">
        <f t="shared" si="27"/>
        <v>0.07736386385226969</v>
      </c>
      <c r="AM25" s="45">
        <f t="shared" si="27"/>
        <v>0.07736386385226969</v>
      </c>
      <c r="AN25" s="45">
        <f t="shared" si="27"/>
        <v>0.07736386385226969</v>
      </c>
      <c r="AO25" s="45">
        <f t="shared" si="27"/>
        <v>0.07736386385226969</v>
      </c>
      <c r="AP25" s="45">
        <f t="shared" si="27"/>
        <v>0.07736386385226969</v>
      </c>
      <c r="AQ25" s="45">
        <f t="shared" si="27"/>
        <v>0.07736386385226969</v>
      </c>
      <c r="AR25" s="45">
        <f t="shared" si="27"/>
        <v>0.07736386385226969</v>
      </c>
      <c r="AS25" s="45">
        <f t="shared" si="27"/>
        <v>0.07736386385226969</v>
      </c>
      <c r="AT25" s="45">
        <f t="shared" si="27"/>
        <v>0.07736386385226969</v>
      </c>
      <c r="AU25" s="45">
        <f t="shared" si="27"/>
        <v>0.07736386385226969</v>
      </c>
      <c r="AV25" s="45">
        <f t="shared" si="28"/>
        <v>0.07736386385226969</v>
      </c>
      <c r="AW25" s="45">
        <f t="shared" si="28"/>
        <v>0.07736386385226969</v>
      </c>
      <c r="AX25" s="45">
        <f t="shared" si="28"/>
        <v>0.07736386385226969</v>
      </c>
      <c r="AY25" s="45">
        <f t="shared" si="28"/>
        <v>0.07736386385226969</v>
      </c>
      <c r="AZ25" s="45">
        <f t="shared" si="28"/>
        <v>0.07736386385226969</v>
      </c>
      <c r="BA25" s="45">
        <f t="shared" si="28"/>
        <v>0.07736386385226969</v>
      </c>
      <c r="BB25" s="45">
        <f t="shared" si="28"/>
        <v>0.07736386385226969</v>
      </c>
      <c r="BC25" s="45">
        <f t="shared" si="28"/>
        <v>0.07736386385226969</v>
      </c>
      <c r="BD25" s="45">
        <f t="shared" si="28"/>
        <v>0.07736386385226969</v>
      </c>
      <c r="BE25" s="45">
        <f t="shared" si="28"/>
        <v>0.07736386385226969</v>
      </c>
      <c r="BF25" s="45">
        <f t="shared" si="28"/>
        <v>0</v>
      </c>
      <c r="BG25" s="45">
        <f t="shared" si="28"/>
        <v>0</v>
      </c>
      <c r="BH25" s="45">
        <f t="shared" si="28"/>
        <v>0</v>
      </c>
      <c r="BI25" s="45">
        <f t="shared" si="28"/>
        <v>0</v>
      </c>
      <c r="BJ25" s="45"/>
      <c r="BK25" s="45"/>
      <c r="BM25" s="45">
        <f t="shared" si="29"/>
        <v>0</v>
      </c>
      <c r="BN25" s="45">
        <f t="shared" si="29"/>
        <v>0</v>
      </c>
      <c r="BO25" s="45">
        <f t="shared" si="29"/>
        <v>0</v>
      </c>
      <c r="BP25" s="45">
        <f t="shared" si="29"/>
        <v>0</v>
      </c>
      <c r="BQ25" s="45">
        <f t="shared" si="29"/>
        <v>0</v>
      </c>
      <c r="BR25" s="45">
        <f t="shared" si="29"/>
        <v>0</v>
      </c>
      <c r="BS25" s="45">
        <f t="shared" si="29"/>
        <v>0</v>
      </c>
      <c r="BT25" s="45">
        <f t="shared" si="29"/>
        <v>0</v>
      </c>
      <c r="BU25" s="45">
        <f t="shared" si="29"/>
        <v>0</v>
      </c>
      <c r="BV25" s="45">
        <f t="shared" si="29"/>
        <v>0</v>
      </c>
      <c r="BW25" s="45">
        <f t="shared" si="30"/>
        <v>0</v>
      </c>
      <c r="BX25" s="45">
        <f t="shared" si="30"/>
        <v>0</v>
      </c>
      <c r="BY25" s="45">
        <f t="shared" si="30"/>
        <v>0</v>
      </c>
      <c r="BZ25" s="45">
        <f t="shared" si="30"/>
        <v>0</v>
      </c>
      <c r="CA25" s="45">
        <f t="shared" si="30"/>
        <v>0</v>
      </c>
      <c r="CB25" s="45">
        <f t="shared" si="30"/>
        <v>0</v>
      </c>
      <c r="CC25" s="45">
        <f t="shared" si="30"/>
        <v>0</v>
      </c>
      <c r="CD25" s="45">
        <f t="shared" si="30"/>
        <v>0</v>
      </c>
      <c r="CE25" s="45">
        <f t="shared" si="30"/>
        <v>0</v>
      </c>
      <c r="CF25" s="45">
        <f t="shared" si="30"/>
        <v>0</v>
      </c>
      <c r="CG25" s="45">
        <f t="shared" si="31"/>
        <v>0</v>
      </c>
      <c r="CH25" s="45">
        <f t="shared" si="31"/>
        <v>0</v>
      </c>
      <c r="CI25" s="45">
        <f t="shared" si="31"/>
        <v>0</v>
      </c>
      <c r="CJ25" s="45">
        <f t="shared" si="31"/>
        <v>0</v>
      </c>
      <c r="CK25" s="45">
        <f t="shared" si="31"/>
        <v>0</v>
      </c>
      <c r="CL25" s="45">
        <f t="shared" si="31"/>
        <v>0</v>
      </c>
      <c r="CM25" s="45">
        <f t="shared" si="31"/>
        <v>0</v>
      </c>
      <c r="CN25" s="45">
        <f t="shared" si="31"/>
        <v>0</v>
      </c>
      <c r="CO25" s="45">
        <f t="shared" si="31"/>
        <v>0</v>
      </c>
      <c r="CP25" s="45">
        <f t="shared" si="31"/>
        <v>0</v>
      </c>
      <c r="CQ25" s="45">
        <f t="shared" si="32"/>
        <v>0</v>
      </c>
      <c r="CR25" s="45">
        <f t="shared" si="32"/>
        <v>0</v>
      </c>
      <c r="CS25" s="45">
        <f t="shared" si="32"/>
        <v>0</v>
      </c>
      <c r="CT25" s="45">
        <f t="shared" si="32"/>
        <v>0</v>
      </c>
      <c r="CU25" s="45">
        <f t="shared" si="32"/>
        <v>0</v>
      </c>
      <c r="CV25" s="45">
        <f t="shared" si="32"/>
        <v>0</v>
      </c>
      <c r="CW25" s="45">
        <f t="shared" si="32"/>
        <v>0</v>
      </c>
      <c r="CX25" s="45">
        <f t="shared" si="32"/>
        <v>0</v>
      </c>
      <c r="CY25" s="45">
        <f t="shared" si="32"/>
        <v>0</v>
      </c>
      <c r="CZ25" s="45">
        <f t="shared" si="32"/>
        <v>0</v>
      </c>
      <c r="DA25" s="45">
        <f t="shared" si="32"/>
        <v>3.2857142857142856</v>
      </c>
      <c r="DB25" s="45">
        <f t="shared" si="32"/>
        <v>3.2857142857142856</v>
      </c>
      <c r="DC25" s="45">
        <f t="shared" si="32"/>
        <v>3.2857142857142856</v>
      </c>
      <c r="DD25" s="45">
        <f t="shared" si="32"/>
        <v>3.2857142857142856</v>
      </c>
      <c r="DF25" s="83">
        <f t="shared" si="12"/>
        <v>0</v>
      </c>
      <c r="DG25" s="83">
        <f t="shared" si="33"/>
        <v>0</v>
      </c>
      <c r="DH25" s="83">
        <f t="shared" si="33"/>
        <v>0</v>
      </c>
      <c r="DI25" s="83">
        <f t="shared" si="33"/>
        <v>0</v>
      </c>
      <c r="DJ25" s="83">
        <f t="shared" si="33"/>
        <v>0</v>
      </c>
      <c r="DK25" s="83">
        <f t="shared" si="33"/>
        <v>0</v>
      </c>
      <c r="DL25" s="83">
        <f t="shared" si="33"/>
        <v>0</v>
      </c>
      <c r="DM25" s="83">
        <f t="shared" si="33"/>
        <v>0</v>
      </c>
      <c r="DN25" s="83">
        <f t="shared" si="33"/>
        <v>0</v>
      </c>
      <c r="DO25" s="83">
        <f t="shared" si="33"/>
        <v>0</v>
      </c>
      <c r="DP25" s="83">
        <f t="shared" si="33"/>
        <v>0</v>
      </c>
      <c r="DQ25" s="83">
        <f t="shared" si="33"/>
        <v>0</v>
      </c>
      <c r="DR25" s="83">
        <f t="shared" si="33"/>
        <v>0</v>
      </c>
      <c r="DS25" s="83">
        <f t="shared" si="33"/>
        <v>0</v>
      </c>
      <c r="DT25" s="83">
        <f t="shared" si="33"/>
        <v>0</v>
      </c>
      <c r="DU25" s="83">
        <f t="shared" si="33"/>
        <v>0</v>
      </c>
      <c r="DV25" s="83">
        <f t="shared" si="33"/>
        <v>0</v>
      </c>
      <c r="DW25" s="83">
        <f t="shared" si="33"/>
        <v>0</v>
      </c>
      <c r="DX25" s="83">
        <f t="shared" si="33"/>
        <v>0</v>
      </c>
      <c r="DY25" s="83">
        <f t="shared" si="33"/>
        <v>0</v>
      </c>
      <c r="DZ25" s="83">
        <f t="shared" si="33"/>
        <v>0</v>
      </c>
      <c r="EA25" s="83">
        <f t="shared" si="33"/>
        <v>0</v>
      </c>
      <c r="EB25" s="83">
        <f t="shared" si="33"/>
        <v>0</v>
      </c>
      <c r="EC25" s="83">
        <f t="shared" si="33"/>
        <v>0</v>
      </c>
      <c r="ED25" s="83">
        <f t="shared" si="33"/>
        <v>0</v>
      </c>
      <c r="EE25" s="83">
        <f t="shared" si="33"/>
        <v>0</v>
      </c>
      <c r="EF25" s="83">
        <f t="shared" si="33"/>
        <v>0</v>
      </c>
      <c r="EG25" s="83">
        <f t="shared" si="33"/>
        <v>0</v>
      </c>
      <c r="EH25" s="83">
        <f t="shared" si="33"/>
        <v>0</v>
      </c>
      <c r="EI25" s="83">
        <f t="shared" si="33"/>
        <v>0</v>
      </c>
      <c r="EJ25" s="83">
        <f t="shared" si="33"/>
        <v>0</v>
      </c>
      <c r="EK25" s="83">
        <f t="shared" si="33"/>
        <v>0</v>
      </c>
      <c r="EL25" s="83">
        <f t="shared" si="33"/>
        <v>0</v>
      </c>
      <c r="EM25" s="83">
        <f t="shared" si="33"/>
        <v>0</v>
      </c>
      <c r="EN25" s="83">
        <f t="shared" si="33"/>
        <v>0</v>
      </c>
      <c r="EO25" s="83">
        <f t="shared" si="33"/>
        <v>0</v>
      </c>
      <c r="EP25" s="83">
        <f t="shared" si="33"/>
        <v>0</v>
      </c>
      <c r="EQ25" s="83">
        <f t="shared" si="33"/>
        <v>0</v>
      </c>
      <c r="ER25" s="83">
        <f t="shared" si="33"/>
        <v>0</v>
      </c>
      <c r="ES25" s="83">
        <f t="shared" si="33"/>
        <v>0</v>
      </c>
      <c r="ET25" s="83">
        <f t="shared" si="33"/>
        <v>230</v>
      </c>
      <c r="EU25" s="83">
        <f t="shared" si="33"/>
        <v>0</v>
      </c>
      <c r="EV25" s="83">
        <f t="shared" si="33"/>
        <v>0</v>
      </c>
      <c r="EW25" s="83">
        <f t="shared" si="33"/>
        <v>0</v>
      </c>
    </row>
    <row r="26" spans="1:153" ht="12.75" outlineLevel="1">
      <c r="A26" s="207">
        <v>16</v>
      </c>
      <c r="B26" s="218">
        <v>9</v>
      </c>
      <c r="C26" s="208">
        <v>14</v>
      </c>
      <c r="D26" s="192"/>
      <c r="E26" s="262">
        <v>1980</v>
      </c>
      <c r="F26" s="268">
        <v>70</v>
      </c>
      <c r="G26" s="246">
        <f t="shared" si="14"/>
        <v>392</v>
      </c>
      <c r="H26" s="221">
        <f t="shared" si="0"/>
        <v>0.7326866862383058</v>
      </c>
      <c r="I26" s="229"/>
      <c r="J26" s="45">
        <f t="shared" si="15"/>
        <v>0.7326866862383058</v>
      </c>
      <c r="K26" s="194">
        <f t="shared" si="1"/>
        <v>42</v>
      </c>
      <c r="L26" s="193">
        <f t="shared" si="16"/>
        <v>0.01744492110091204</v>
      </c>
      <c r="M26" s="194">
        <f t="shared" si="2"/>
        <v>42</v>
      </c>
      <c r="N26" s="50">
        <f t="shared" si="17"/>
        <v>0.7326866862383057</v>
      </c>
      <c r="O26" s="217">
        <v>45</v>
      </c>
      <c r="P26" s="224">
        <f t="shared" si="24"/>
        <v>2050</v>
      </c>
      <c r="Q26" s="228">
        <f t="shared" si="18"/>
        <v>588</v>
      </c>
      <c r="R26" s="45">
        <f t="shared" si="25"/>
        <v>0.01744492110091204</v>
      </c>
      <c r="S26" s="45">
        <f t="shared" si="25"/>
        <v>0.01744492110091204</v>
      </c>
      <c r="T26" s="45">
        <f t="shared" si="25"/>
        <v>0.01744492110091204</v>
      </c>
      <c r="U26" s="45">
        <f t="shared" si="25"/>
        <v>0.01744492110091204</v>
      </c>
      <c r="V26" s="45">
        <f t="shared" si="25"/>
        <v>0.01744492110091204</v>
      </c>
      <c r="W26" s="45">
        <f t="shared" si="25"/>
        <v>0.01744492110091204</v>
      </c>
      <c r="X26" s="45">
        <f t="shared" si="25"/>
        <v>0.01744492110091204</v>
      </c>
      <c r="Y26" s="45">
        <f t="shared" si="25"/>
        <v>0.01744492110091204</v>
      </c>
      <c r="Z26" s="45">
        <f t="shared" si="25"/>
        <v>0.01744492110091204</v>
      </c>
      <c r="AA26" s="45">
        <f t="shared" si="25"/>
        <v>0.01744492110091204</v>
      </c>
      <c r="AB26" s="45">
        <f t="shared" si="26"/>
        <v>0.01744492110091204</v>
      </c>
      <c r="AC26" s="45">
        <f t="shared" si="26"/>
        <v>0.01744492110091204</v>
      </c>
      <c r="AD26" s="45">
        <f t="shared" si="26"/>
        <v>0.01744492110091204</v>
      </c>
      <c r="AE26" s="45">
        <f t="shared" si="26"/>
        <v>0.01744492110091204</v>
      </c>
      <c r="AF26" s="45">
        <f t="shared" si="26"/>
        <v>0.01744492110091204</v>
      </c>
      <c r="AG26" s="45">
        <f t="shared" si="26"/>
        <v>0.01744492110091204</v>
      </c>
      <c r="AH26" s="45">
        <f t="shared" si="26"/>
        <v>0.01744492110091204</v>
      </c>
      <c r="AI26" s="45">
        <f t="shared" si="26"/>
        <v>0.01744492110091204</v>
      </c>
      <c r="AJ26" s="45">
        <f t="shared" si="26"/>
        <v>0.01744492110091204</v>
      </c>
      <c r="AK26" s="45">
        <f t="shared" si="26"/>
        <v>0.01744492110091204</v>
      </c>
      <c r="AL26" s="45">
        <f t="shared" si="27"/>
        <v>0.01744492110091204</v>
      </c>
      <c r="AM26" s="45">
        <f t="shared" si="27"/>
        <v>0.01744492110091204</v>
      </c>
      <c r="AN26" s="45">
        <f t="shared" si="27"/>
        <v>0.01744492110091204</v>
      </c>
      <c r="AO26" s="45">
        <f t="shared" si="27"/>
        <v>0.01744492110091204</v>
      </c>
      <c r="AP26" s="45">
        <f t="shared" si="27"/>
        <v>0.01744492110091204</v>
      </c>
      <c r="AQ26" s="45">
        <f t="shared" si="27"/>
        <v>0.01744492110091204</v>
      </c>
      <c r="AR26" s="45">
        <f t="shared" si="27"/>
        <v>0.01744492110091204</v>
      </c>
      <c r="AS26" s="45">
        <f t="shared" si="27"/>
        <v>0.01744492110091204</v>
      </c>
      <c r="AT26" s="45">
        <f t="shared" si="27"/>
        <v>0.01744492110091204</v>
      </c>
      <c r="AU26" s="45">
        <f t="shared" si="27"/>
        <v>0.01744492110091204</v>
      </c>
      <c r="AV26" s="45">
        <f t="shared" si="28"/>
        <v>0.01744492110091204</v>
      </c>
      <c r="AW26" s="45">
        <f t="shared" si="28"/>
        <v>0.01744492110091204</v>
      </c>
      <c r="AX26" s="45">
        <f t="shared" si="28"/>
        <v>0.01744492110091204</v>
      </c>
      <c r="AY26" s="45">
        <f t="shared" si="28"/>
        <v>0.01744492110091204</v>
      </c>
      <c r="AZ26" s="45">
        <f t="shared" si="28"/>
        <v>0.01744492110091204</v>
      </c>
      <c r="BA26" s="45">
        <f t="shared" si="28"/>
        <v>0.01744492110091204</v>
      </c>
      <c r="BB26" s="45">
        <f t="shared" si="28"/>
        <v>0.01744492110091204</v>
      </c>
      <c r="BC26" s="45">
        <f t="shared" si="28"/>
        <v>0.01744492110091204</v>
      </c>
      <c r="BD26" s="45">
        <f t="shared" si="28"/>
        <v>0.01744492110091204</v>
      </c>
      <c r="BE26" s="45">
        <f t="shared" si="28"/>
        <v>0.01744492110091204</v>
      </c>
      <c r="BF26" s="45">
        <f t="shared" si="28"/>
        <v>0.01744492110091204</v>
      </c>
      <c r="BG26" s="45">
        <f t="shared" si="28"/>
        <v>0.01744492110091204</v>
      </c>
      <c r="BH26" s="45">
        <f t="shared" si="28"/>
        <v>0</v>
      </c>
      <c r="BI26" s="45">
        <f t="shared" si="28"/>
        <v>0</v>
      </c>
      <c r="BJ26" s="45"/>
      <c r="BK26" s="45"/>
      <c r="BM26" s="45">
        <f t="shared" si="29"/>
        <v>0</v>
      </c>
      <c r="BN26" s="45">
        <f t="shared" si="29"/>
        <v>0</v>
      </c>
      <c r="BO26" s="45">
        <f t="shared" si="29"/>
        <v>0</v>
      </c>
      <c r="BP26" s="45">
        <f t="shared" si="29"/>
        <v>0</v>
      </c>
      <c r="BQ26" s="45">
        <f t="shared" si="29"/>
        <v>0</v>
      </c>
      <c r="BR26" s="45">
        <f t="shared" si="29"/>
        <v>0</v>
      </c>
      <c r="BS26" s="45">
        <f t="shared" si="29"/>
        <v>0</v>
      </c>
      <c r="BT26" s="45">
        <f t="shared" si="29"/>
        <v>0</v>
      </c>
      <c r="BU26" s="45">
        <f t="shared" si="29"/>
        <v>0</v>
      </c>
      <c r="BV26" s="45">
        <f t="shared" si="29"/>
        <v>0</v>
      </c>
      <c r="BW26" s="45">
        <f t="shared" si="30"/>
        <v>0</v>
      </c>
      <c r="BX26" s="45">
        <f t="shared" si="30"/>
        <v>0</v>
      </c>
      <c r="BY26" s="45">
        <f t="shared" si="30"/>
        <v>0</v>
      </c>
      <c r="BZ26" s="45">
        <f t="shared" si="30"/>
        <v>0</v>
      </c>
      <c r="CA26" s="45">
        <f t="shared" si="30"/>
        <v>0</v>
      </c>
      <c r="CB26" s="45">
        <f t="shared" si="30"/>
        <v>0</v>
      </c>
      <c r="CC26" s="45">
        <f t="shared" si="30"/>
        <v>0</v>
      </c>
      <c r="CD26" s="45">
        <f t="shared" si="30"/>
        <v>0</v>
      </c>
      <c r="CE26" s="45">
        <f t="shared" si="30"/>
        <v>0</v>
      </c>
      <c r="CF26" s="45">
        <f t="shared" si="30"/>
        <v>0</v>
      </c>
      <c r="CG26" s="45">
        <f t="shared" si="31"/>
        <v>0</v>
      </c>
      <c r="CH26" s="45">
        <f t="shared" si="31"/>
        <v>0</v>
      </c>
      <c r="CI26" s="45">
        <f t="shared" si="31"/>
        <v>0</v>
      </c>
      <c r="CJ26" s="45">
        <f t="shared" si="31"/>
        <v>0</v>
      </c>
      <c r="CK26" s="45">
        <f t="shared" si="31"/>
        <v>0</v>
      </c>
      <c r="CL26" s="45">
        <f t="shared" si="31"/>
        <v>0</v>
      </c>
      <c r="CM26" s="45">
        <f t="shared" si="31"/>
        <v>0</v>
      </c>
      <c r="CN26" s="45">
        <f t="shared" si="31"/>
        <v>0</v>
      </c>
      <c r="CO26" s="45">
        <f t="shared" si="31"/>
        <v>0</v>
      </c>
      <c r="CP26" s="45">
        <f t="shared" si="31"/>
        <v>0</v>
      </c>
      <c r="CQ26" s="45">
        <f t="shared" si="32"/>
        <v>0</v>
      </c>
      <c r="CR26" s="45">
        <f t="shared" si="32"/>
        <v>0</v>
      </c>
      <c r="CS26" s="45">
        <f t="shared" si="32"/>
        <v>0</v>
      </c>
      <c r="CT26" s="45">
        <f t="shared" si="32"/>
        <v>0</v>
      </c>
      <c r="CU26" s="45">
        <f t="shared" si="32"/>
        <v>0</v>
      </c>
      <c r="CV26" s="45">
        <f t="shared" si="32"/>
        <v>0</v>
      </c>
      <c r="CW26" s="45">
        <f t="shared" si="32"/>
        <v>0</v>
      </c>
      <c r="CX26" s="45">
        <f t="shared" si="32"/>
        <v>0</v>
      </c>
      <c r="CY26" s="45">
        <f t="shared" si="32"/>
        <v>0</v>
      </c>
      <c r="CZ26" s="45">
        <f t="shared" si="32"/>
        <v>0</v>
      </c>
      <c r="DA26" s="45">
        <f t="shared" si="32"/>
        <v>0</v>
      </c>
      <c r="DB26" s="45">
        <f t="shared" si="32"/>
        <v>0</v>
      </c>
      <c r="DC26" s="45">
        <f t="shared" si="32"/>
        <v>0.6428571428571429</v>
      </c>
      <c r="DD26" s="45">
        <f t="shared" si="32"/>
        <v>0.6428571428571429</v>
      </c>
      <c r="DF26" s="83">
        <f t="shared" si="12"/>
        <v>0</v>
      </c>
      <c r="DG26" s="83">
        <f>IF($P26=DG$8,$O26,0)</f>
        <v>0</v>
      </c>
      <c r="DH26" s="83">
        <f t="shared" si="33"/>
        <v>0</v>
      </c>
      <c r="DI26" s="83">
        <f t="shared" si="33"/>
        <v>0</v>
      </c>
      <c r="DJ26" s="83">
        <f t="shared" si="33"/>
        <v>0</v>
      </c>
      <c r="DK26" s="83">
        <f t="shared" si="33"/>
        <v>0</v>
      </c>
      <c r="DL26" s="83">
        <f t="shared" si="33"/>
        <v>0</v>
      </c>
      <c r="DM26" s="83">
        <f t="shared" si="33"/>
        <v>0</v>
      </c>
      <c r="DN26" s="83">
        <f t="shared" si="33"/>
        <v>0</v>
      </c>
      <c r="DO26" s="83">
        <f t="shared" si="33"/>
        <v>0</v>
      </c>
      <c r="DP26" s="83">
        <f t="shared" si="33"/>
        <v>0</v>
      </c>
      <c r="DQ26" s="83">
        <f t="shared" si="33"/>
        <v>0</v>
      </c>
      <c r="DR26" s="83">
        <f t="shared" si="33"/>
        <v>0</v>
      </c>
      <c r="DS26" s="83">
        <f t="shared" si="33"/>
        <v>0</v>
      </c>
      <c r="DT26" s="83">
        <f t="shared" si="33"/>
        <v>0</v>
      </c>
      <c r="DU26" s="83">
        <f t="shared" si="33"/>
        <v>0</v>
      </c>
      <c r="DV26" s="83">
        <f t="shared" si="33"/>
        <v>0</v>
      </c>
      <c r="DW26" s="83">
        <f t="shared" si="33"/>
        <v>0</v>
      </c>
      <c r="DX26" s="83">
        <f t="shared" si="33"/>
        <v>0</v>
      </c>
      <c r="DY26" s="83">
        <f t="shared" si="33"/>
        <v>0</v>
      </c>
      <c r="DZ26" s="83">
        <f t="shared" si="33"/>
        <v>0</v>
      </c>
      <c r="EA26" s="83">
        <f t="shared" si="33"/>
        <v>0</v>
      </c>
      <c r="EB26" s="83">
        <f t="shared" si="33"/>
        <v>0</v>
      </c>
      <c r="EC26" s="83">
        <f t="shared" si="33"/>
        <v>0</v>
      </c>
      <c r="ED26" s="83">
        <f t="shared" si="33"/>
        <v>0</v>
      </c>
      <c r="EE26" s="83">
        <f t="shared" si="33"/>
        <v>0</v>
      </c>
      <c r="EF26" s="83">
        <f t="shared" si="33"/>
        <v>0</v>
      </c>
      <c r="EG26" s="83">
        <f t="shared" si="33"/>
        <v>0</v>
      </c>
      <c r="EH26" s="83">
        <f t="shared" si="33"/>
        <v>0</v>
      </c>
      <c r="EI26" s="83">
        <f t="shared" si="33"/>
        <v>0</v>
      </c>
      <c r="EJ26" s="83">
        <f t="shared" si="33"/>
        <v>0</v>
      </c>
      <c r="EK26" s="83">
        <f t="shared" si="33"/>
        <v>0</v>
      </c>
      <c r="EL26" s="83">
        <f t="shared" si="33"/>
        <v>0</v>
      </c>
      <c r="EM26" s="83">
        <f t="shared" si="33"/>
        <v>0</v>
      </c>
      <c r="EN26" s="83">
        <f t="shared" si="33"/>
        <v>0</v>
      </c>
      <c r="EO26" s="83">
        <f t="shared" si="33"/>
        <v>0</v>
      </c>
      <c r="EP26" s="83">
        <f t="shared" si="33"/>
        <v>0</v>
      </c>
      <c r="EQ26" s="83">
        <f t="shared" si="33"/>
        <v>0</v>
      </c>
      <c r="ER26" s="83">
        <f t="shared" si="33"/>
        <v>0</v>
      </c>
      <c r="ES26" s="83">
        <f t="shared" si="33"/>
        <v>0</v>
      </c>
      <c r="ET26" s="83">
        <f t="shared" si="33"/>
        <v>0</v>
      </c>
      <c r="EU26" s="83">
        <f t="shared" si="33"/>
        <v>0</v>
      </c>
      <c r="EV26" s="83">
        <f t="shared" si="33"/>
        <v>45</v>
      </c>
      <c r="EW26" s="83">
        <f t="shared" si="33"/>
        <v>0</v>
      </c>
    </row>
    <row r="27" spans="1:153" ht="12.75" outlineLevel="1">
      <c r="A27" s="207">
        <v>17</v>
      </c>
      <c r="B27" s="218">
        <v>10</v>
      </c>
      <c r="C27" s="208">
        <v>137</v>
      </c>
      <c r="D27" s="192"/>
      <c r="E27" s="262">
        <v>1981</v>
      </c>
      <c r="F27" s="268">
        <v>70</v>
      </c>
      <c r="G27" s="246">
        <f t="shared" si="14"/>
        <v>3699</v>
      </c>
      <c r="H27" s="221">
        <f t="shared" si="0"/>
        <v>7.966513969416499</v>
      </c>
      <c r="I27" s="229"/>
      <c r="J27" s="45">
        <f t="shared" si="15"/>
        <v>7.966513969416499</v>
      </c>
      <c r="K27" s="194">
        <f t="shared" si="1"/>
        <v>43</v>
      </c>
      <c r="L27" s="193">
        <f t="shared" si="16"/>
        <v>0.18526776673061626</v>
      </c>
      <c r="M27" s="194">
        <f t="shared" si="2"/>
        <v>43</v>
      </c>
      <c r="N27" s="50">
        <f t="shared" si="17"/>
        <v>7.966513969416499</v>
      </c>
      <c r="O27" s="217">
        <v>450</v>
      </c>
      <c r="P27" s="224">
        <f t="shared" si="24"/>
        <v>2051</v>
      </c>
      <c r="Q27" s="228">
        <f t="shared" si="18"/>
        <v>5891</v>
      </c>
      <c r="R27" s="45">
        <f t="shared" si="25"/>
        <v>0.18526776673061626</v>
      </c>
      <c r="S27" s="45">
        <f t="shared" si="25"/>
        <v>0.18526776673061626</v>
      </c>
      <c r="T27" s="45">
        <f t="shared" si="25"/>
        <v>0.18526776673061626</v>
      </c>
      <c r="U27" s="45">
        <f t="shared" si="25"/>
        <v>0.18526776673061626</v>
      </c>
      <c r="V27" s="45">
        <f t="shared" si="25"/>
        <v>0.18526776673061626</v>
      </c>
      <c r="W27" s="45">
        <f t="shared" si="25"/>
        <v>0.18526776673061626</v>
      </c>
      <c r="X27" s="45">
        <f t="shared" si="25"/>
        <v>0.18526776673061626</v>
      </c>
      <c r="Y27" s="45">
        <f t="shared" si="25"/>
        <v>0.18526776673061626</v>
      </c>
      <c r="Z27" s="45">
        <f t="shared" si="25"/>
        <v>0.18526776673061626</v>
      </c>
      <c r="AA27" s="45">
        <f t="shared" si="25"/>
        <v>0.18526776673061626</v>
      </c>
      <c r="AB27" s="45">
        <f t="shared" si="26"/>
        <v>0.18526776673061626</v>
      </c>
      <c r="AC27" s="45">
        <f t="shared" si="26"/>
        <v>0.18526776673061626</v>
      </c>
      <c r="AD27" s="45">
        <f t="shared" si="26"/>
        <v>0.18526776673061626</v>
      </c>
      <c r="AE27" s="45">
        <f t="shared" si="26"/>
        <v>0.18526776673061626</v>
      </c>
      <c r="AF27" s="45">
        <f t="shared" si="26"/>
        <v>0.18526776673061626</v>
      </c>
      <c r="AG27" s="45">
        <f t="shared" si="26"/>
        <v>0.18526776673061626</v>
      </c>
      <c r="AH27" s="45">
        <f t="shared" si="26"/>
        <v>0.18526776673061626</v>
      </c>
      <c r="AI27" s="45">
        <f t="shared" si="26"/>
        <v>0.18526776673061626</v>
      </c>
      <c r="AJ27" s="45">
        <f t="shared" si="26"/>
        <v>0.18526776673061626</v>
      </c>
      <c r="AK27" s="45">
        <f t="shared" si="26"/>
        <v>0.18526776673061626</v>
      </c>
      <c r="AL27" s="45">
        <f t="shared" si="27"/>
        <v>0.18526776673061626</v>
      </c>
      <c r="AM27" s="45">
        <f t="shared" si="27"/>
        <v>0.18526776673061626</v>
      </c>
      <c r="AN27" s="45">
        <f t="shared" si="27"/>
        <v>0.18526776673061626</v>
      </c>
      <c r="AO27" s="45">
        <f t="shared" si="27"/>
        <v>0.18526776673061626</v>
      </c>
      <c r="AP27" s="45">
        <f t="shared" si="27"/>
        <v>0.18526776673061626</v>
      </c>
      <c r="AQ27" s="45">
        <f t="shared" si="27"/>
        <v>0.18526776673061626</v>
      </c>
      <c r="AR27" s="45">
        <f t="shared" si="27"/>
        <v>0.18526776673061626</v>
      </c>
      <c r="AS27" s="45">
        <f t="shared" si="27"/>
        <v>0.18526776673061626</v>
      </c>
      <c r="AT27" s="45">
        <f t="shared" si="27"/>
        <v>0.18526776673061626</v>
      </c>
      <c r="AU27" s="45">
        <f t="shared" si="27"/>
        <v>0.18526776673061626</v>
      </c>
      <c r="AV27" s="45">
        <f t="shared" si="28"/>
        <v>0.18526776673061626</v>
      </c>
      <c r="AW27" s="45">
        <f t="shared" si="28"/>
        <v>0.18526776673061626</v>
      </c>
      <c r="AX27" s="45">
        <f t="shared" si="28"/>
        <v>0.18526776673061626</v>
      </c>
      <c r="AY27" s="45">
        <f t="shared" si="28"/>
        <v>0.18526776673061626</v>
      </c>
      <c r="AZ27" s="45">
        <f t="shared" si="28"/>
        <v>0.18526776673061626</v>
      </c>
      <c r="BA27" s="45">
        <f t="shared" si="28"/>
        <v>0.18526776673061626</v>
      </c>
      <c r="BB27" s="45">
        <f t="shared" si="28"/>
        <v>0.18526776673061626</v>
      </c>
      <c r="BC27" s="45">
        <f t="shared" si="28"/>
        <v>0.18526776673061626</v>
      </c>
      <c r="BD27" s="45">
        <f t="shared" si="28"/>
        <v>0.18526776673061626</v>
      </c>
      <c r="BE27" s="45">
        <f t="shared" si="28"/>
        <v>0.18526776673061626</v>
      </c>
      <c r="BF27" s="45">
        <f t="shared" si="28"/>
        <v>0.18526776673061626</v>
      </c>
      <c r="BG27" s="45">
        <f t="shared" si="28"/>
        <v>0.18526776673061626</v>
      </c>
      <c r="BH27" s="45">
        <f t="shared" si="28"/>
        <v>0.18526776673061626</v>
      </c>
      <c r="BI27" s="45">
        <f t="shared" si="28"/>
        <v>0</v>
      </c>
      <c r="BJ27" s="45"/>
      <c r="BK27" s="45"/>
      <c r="BM27" s="45">
        <f t="shared" si="29"/>
        <v>0</v>
      </c>
      <c r="BN27" s="45">
        <f t="shared" si="29"/>
        <v>0</v>
      </c>
      <c r="BO27" s="45">
        <f t="shared" si="29"/>
        <v>0</v>
      </c>
      <c r="BP27" s="45">
        <f t="shared" si="29"/>
        <v>0</v>
      </c>
      <c r="BQ27" s="45">
        <f t="shared" si="29"/>
        <v>0</v>
      </c>
      <c r="BR27" s="45">
        <f t="shared" si="29"/>
        <v>0</v>
      </c>
      <c r="BS27" s="45">
        <f t="shared" si="29"/>
        <v>0</v>
      </c>
      <c r="BT27" s="45">
        <f t="shared" si="29"/>
        <v>0</v>
      </c>
      <c r="BU27" s="45">
        <f t="shared" si="29"/>
        <v>0</v>
      </c>
      <c r="BV27" s="45">
        <f t="shared" si="29"/>
        <v>0</v>
      </c>
      <c r="BW27" s="45">
        <f t="shared" si="30"/>
        <v>0</v>
      </c>
      <c r="BX27" s="45">
        <f t="shared" si="30"/>
        <v>0</v>
      </c>
      <c r="BY27" s="45">
        <f t="shared" si="30"/>
        <v>0</v>
      </c>
      <c r="BZ27" s="45">
        <f t="shared" si="30"/>
        <v>0</v>
      </c>
      <c r="CA27" s="45">
        <f t="shared" si="30"/>
        <v>0</v>
      </c>
      <c r="CB27" s="45">
        <f t="shared" si="30"/>
        <v>0</v>
      </c>
      <c r="CC27" s="45">
        <f t="shared" si="30"/>
        <v>0</v>
      </c>
      <c r="CD27" s="45">
        <f t="shared" si="30"/>
        <v>0</v>
      </c>
      <c r="CE27" s="45">
        <f t="shared" si="30"/>
        <v>0</v>
      </c>
      <c r="CF27" s="45">
        <f t="shared" si="30"/>
        <v>0</v>
      </c>
      <c r="CG27" s="45">
        <f t="shared" si="31"/>
        <v>0</v>
      </c>
      <c r="CH27" s="45">
        <f t="shared" si="31"/>
        <v>0</v>
      </c>
      <c r="CI27" s="45">
        <f t="shared" si="31"/>
        <v>0</v>
      </c>
      <c r="CJ27" s="45">
        <f t="shared" si="31"/>
        <v>0</v>
      </c>
      <c r="CK27" s="45">
        <f t="shared" si="31"/>
        <v>0</v>
      </c>
      <c r="CL27" s="45">
        <f t="shared" si="31"/>
        <v>0</v>
      </c>
      <c r="CM27" s="45">
        <f t="shared" si="31"/>
        <v>0</v>
      </c>
      <c r="CN27" s="45">
        <f t="shared" si="31"/>
        <v>0</v>
      </c>
      <c r="CO27" s="45">
        <f t="shared" si="31"/>
        <v>0</v>
      </c>
      <c r="CP27" s="45">
        <f t="shared" si="31"/>
        <v>0</v>
      </c>
      <c r="CQ27" s="45">
        <f t="shared" si="32"/>
        <v>0</v>
      </c>
      <c r="CR27" s="45">
        <f t="shared" si="32"/>
        <v>0</v>
      </c>
      <c r="CS27" s="45">
        <f t="shared" si="32"/>
        <v>0</v>
      </c>
      <c r="CT27" s="45">
        <f t="shared" si="32"/>
        <v>0</v>
      </c>
      <c r="CU27" s="45">
        <f t="shared" si="32"/>
        <v>0</v>
      </c>
      <c r="CV27" s="45">
        <f t="shared" si="32"/>
        <v>0</v>
      </c>
      <c r="CW27" s="45">
        <f t="shared" si="32"/>
        <v>0</v>
      </c>
      <c r="CX27" s="45">
        <f t="shared" si="32"/>
        <v>0</v>
      </c>
      <c r="CY27" s="45">
        <f t="shared" si="32"/>
        <v>0</v>
      </c>
      <c r="CZ27" s="45">
        <f t="shared" si="32"/>
        <v>0</v>
      </c>
      <c r="DA27" s="45">
        <f t="shared" si="32"/>
        <v>0</v>
      </c>
      <c r="DB27" s="45">
        <f t="shared" si="32"/>
        <v>0</v>
      </c>
      <c r="DC27" s="45">
        <f t="shared" si="32"/>
        <v>0</v>
      </c>
      <c r="DD27" s="45">
        <f t="shared" si="32"/>
        <v>6.428571428571429</v>
      </c>
      <c r="DF27" s="83">
        <f t="shared" si="12"/>
        <v>0</v>
      </c>
      <c r="DG27" s="83">
        <f t="shared" si="33"/>
        <v>0</v>
      </c>
      <c r="DH27" s="83">
        <f t="shared" si="33"/>
        <v>0</v>
      </c>
      <c r="DI27" s="83">
        <f t="shared" si="33"/>
        <v>0</v>
      </c>
      <c r="DJ27" s="83">
        <f t="shared" si="33"/>
        <v>0</v>
      </c>
      <c r="DK27" s="83">
        <f t="shared" si="33"/>
        <v>0</v>
      </c>
      <c r="DL27" s="83">
        <f t="shared" si="33"/>
        <v>0</v>
      </c>
      <c r="DM27" s="83">
        <f t="shared" si="33"/>
        <v>0</v>
      </c>
      <c r="DN27" s="83">
        <f t="shared" si="33"/>
        <v>0</v>
      </c>
      <c r="DO27" s="83">
        <f t="shared" si="33"/>
        <v>0</v>
      </c>
      <c r="DP27" s="83">
        <f t="shared" si="33"/>
        <v>0</v>
      </c>
      <c r="DQ27" s="83">
        <f t="shared" si="33"/>
        <v>0</v>
      </c>
      <c r="DR27" s="83">
        <f t="shared" si="33"/>
        <v>0</v>
      </c>
      <c r="DS27" s="83">
        <f t="shared" si="33"/>
        <v>0</v>
      </c>
      <c r="DT27" s="83">
        <f t="shared" si="33"/>
        <v>0</v>
      </c>
      <c r="DU27" s="83">
        <f t="shared" si="33"/>
        <v>0</v>
      </c>
      <c r="DV27" s="83">
        <f t="shared" si="33"/>
        <v>0</v>
      </c>
      <c r="DW27" s="83">
        <f t="shared" si="33"/>
        <v>0</v>
      </c>
      <c r="DX27" s="83">
        <f t="shared" si="33"/>
        <v>0</v>
      </c>
      <c r="DY27" s="83">
        <f t="shared" si="33"/>
        <v>0</v>
      </c>
      <c r="DZ27" s="83">
        <f t="shared" si="33"/>
        <v>0</v>
      </c>
      <c r="EA27" s="83">
        <f t="shared" si="33"/>
        <v>0</v>
      </c>
      <c r="EB27" s="83">
        <f t="shared" si="33"/>
        <v>0</v>
      </c>
      <c r="EC27" s="83">
        <f t="shared" si="33"/>
        <v>0</v>
      </c>
      <c r="ED27" s="83">
        <f t="shared" si="33"/>
        <v>0</v>
      </c>
      <c r="EE27" s="83">
        <f t="shared" si="33"/>
        <v>0</v>
      </c>
      <c r="EF27" s="83">
        <f t="shared" si="33"/>
        <v>0</v>
      </c>
      <c r="EG27" s="83">
        <f t="shared" si="33"/>
        <v>0</v>
      </c>
      <c r="EH27" s="83">
        <f t="shared" si="33"/>
        <v>0</v>
      </c>
      <c r="EI27" s="83">
        <f t="shared" si="33"/>
        <v>0</v>
      </c>
      <c r="EJ27" s="83">
        <f t="shared" si="33"/>
        <v>0</v>
      </c>
      <c r="EK27" s="83">
        <f t="shared" si="33"/>
        <v>0</v>
      </c>
      <c r="EL27" s="83">
        <f t="shared" si="33"/>
        <v>0</v>
      </c>
      <c r="EM27" s="83">
        <f t="shared" si="33"/>
        <v>0</v>
      </c>
      <c r="EN27" s="83">
        <f t="shared" si="33"/>
        <v>0</v>
      </c>
      <c r="EO27" s="83">
        <f t="shared" si="33"/>
        <v>0</v>
      </c>
      <c r="EP27" s="83">
        <f t="shared" si="33"/>
        <v>0</v>
      </c>
      <c r="EQ27" s="83">
        <f t="shared" si="33"/>
        <v>0</v>
      </c>
      <c r="ER27" s="83">
        <f t="shared" si="33"/>
        <v>0</v>
      </c>
      <c r="ES27" s="83">
        <f t="shared" si="33"/>
        <v>0</v>
      </c>
      <c r="ET27" s="83">
        <f t="shared" si="33"/>
        <v>0</v>
      </c>
      <c r="EU27" s="83">
        <f t="shared" si="33"/>
        <v>0</v>
      </c>
      <c r="EV27" s="83">
        <f t="shared" si="33"/>
        <v>0</v>
      </c>
      <c r="EW27" s="83">
        <f t="shared" si="33"/>
        <v>450</v>
      </c>
    </row>
    <row r="28" spans="1:153" ht="12.75" outlineLevel="1">
      <c r="A28" s="207">
        <v>18</v>
      </c>
      <c r="B28" s="218">
        <v>11</v>
      </c>
      <c r="C28" s="208">
        <v>90</v>
      </c>
      <c r="D28" s="192"/>
      <c r="E28" s="262">
        <v>1982</v>
      </c>
      <c r="F28" s="268">
        <v>70</v>
      </c>
      <c r="G28" s="246">
        <f t="shared" si="14"/>
        <v>2340</v>
      </c>
      <c r="H28" s="221">
        <f t="shared" si="0"/>
        <v>5.814973700304013</v>
      </c>
      <c r="I28" s="229"/>
      <c r="J28" s="45">
        <f t="shared" si="15"/>
        <v>5.814973700304013</v>
      </c>
      <c r="K28" s="194">
        <f t="shared" si="1"/>
        <v>44</v>
      </c>
      <c r="L28" s="193">
        <f t="shared" si="16"/>
        <v>0.13215849318872758</v>
      </c>
      <c r="M28" s="194">
        <f t="shared" si="2"/>
        <v>44</v>
      </c>
      <c r="N28" s="50">
        <f t="shared" si="17"/>
        <v>5.814973700304013</v>
      </c>
      <c r="O28" s="217">
        <v>250</v>
      </c>
      <c r="P28" s="224">
        <f t="shared" si="24"/>
        <v>2052</v>
      </c>
      <c r="Q28" s="228">
        <f t="shared" si="18"/>
        <v>3960</v>
      </c>
      <c r="R28" s="45">
        <f t="shared" si="25"/>
        <v>0.13215849318872758</v>
      </c>
      <c r="S28" s="45">
        <f t="shared" si="25"/>
        <v>0.13215849318872758</v>
      </c>
      <c r="T28" s="45">
        <f t="shared" si="25"/>
        <v>0.13215849318872758</v>
      </c>
      <c r="U28" s="45">
        <f t="shared" si="25"/>
        <v>0.13215849318872758</v>
      </c>
      <c r="V28" s="45">
        <f t="shared" si="25"/>
        <v>0.13215849318872758</v>
      </c>
      <c r="W28" s="45">
        <f t="shared" si="25"/>
        <v>0.13215849318872758</v>
      </c>
      <c r="X28" s="45">
        <f t="shared" si="25"/>
        <v>0.13215849318872758</v>
      </c>
      <c r="Y28" s="45">
        <f t="shared" si="25"/>
        <v>0.13215849318872758</v>
      </c>
      <c r="Z28" s="45">
        <f t="shared" si="25"/>
        <v>0.13215849318872758</v>
      </c>
      <c r="AA28" s="45">
        <f t="shared" si="25"/>
        <v>0.13215849318872758</v>
      </c>
      <c r="AB28" s="45">
        <f t="shared" si="26"/>
        <v>0.13215849318872758</v>
      </c>
      <c r="AC28" s="45">
        <f t="shared" si="26"/>
        <v>0.13215849318872758</v>
      </c>
      <c r="AD28" s="45">
        <f t="shared" si="26"/>
        <v>0.13215849318872758</v>
      </c>
      <c r="AE28" s="45">
        <f t="shared" si="26"/>
        <v>0.13215849318872758</v>
      </c>
      <c r="AF28" s="45">
        <f t="shared" si="26"/>
        <v>0.13215849318872758</v>
      </c>
      <c r="AG28" s="45">
        <f t="shared" si="26"/>
        <v>0.13215849318872758</v>
      </c>
      <c r="AH28" s="45">
        <f t="shared" si="26"/>
        <v>0.13215849318872758</v>
      </c>
      <c r="AI28" s="45">
        <f t="shared" si="26"/>
        <v>0.13215849318872758</v>
      </c>
      <c r="AJ28" s="45">
        <f t="shared" si="26"/>
        <v>0.13215849318872758</v>
      </c>
      <c r="AK28" s="45">
        <f t="shared" si="26"/>
        <v>0.13215849318872758</v>
      </c>
      <c r="AL28" s="45">
        <f t="shared" si="27"/>
        <v>0.13215849318872758</v>
      </c>
      <c r="AM28" s="45">
        <f t="shared" si="27"/>
        <v>0.13215849318872758</v>
      </c>
      <c r="AN28" s="45">
        <f t="shared" si="27"/>
        <v>0.13215849318872758</v>
      </c>
      <c r="AO28" s="45">
        <f t="shared" si="27"/>
        <v>0.13215849318872758</v>
      </c>
      <c r="AP28" s="45">
        <f t="shared" si="27"/>
        <v>0.13215849318872758</v>
      </c>
      <c r="AQ28" s="45">
        <f t="shared" si="27"/>
        <v>0.13215849318872758</v>
      </c>
      <c r="AR28" s="45">
        <f t="shared" si="27"/>
        <v>0.13215849318872758</v>
      </c>
      <c r="AS28" s="45">
        <f t="shared" si="27"/>
        <v>0.13215849318872758</v>
      </c>
      <c r="AT28" s="45">
        <f t="shared" si="27"/>
        <v>0.13215849318872758</v>
      </c>
      <c r="AU28" s="45">
        <f t="shared" si="27"/>
        <v>0.13215849318872758</v>
      </c>
      <c r="AV28" s="45">
        <f t="shared" si="28"/>
        <v>0.13215849318872758</v>
      </c>
      <c r="AW28" s="45">
        <f t="shared" si="28"/>
        <v>0.13215849318872758</v>
      </c>
      <c r="AX28" s="45">
        <f t="shared" si="28"/>
        <v>0.13215849318872758</v>
      </c>
      <c r="AY28" s="45">
        <f t="shared" si="28"/>
        <v>0.13215849318872758</v>
      </c>
      <c r="AZ28" s="45">
        <f t="shared" si="28"/>
        <v>0.13215849318872758</v>
      </c>
      <c r="BA28" s="45">
        <f t="shared" si="28"/>
        <v>0.13215849318872758</v>
      </c>
      <c r="BB28" s="45">
        <f t="shared" si="28"/>
        <v>0.13215849318872758</v>
      </c>
      <c r="BC28" s="45">
        <f t="shared" si="28"/>
        <v>0.13215849318872758</v>
      </c>
      <c r="BD28" s="45">
        <f t="shared" si="28"/>
        <v>0.13215849318872758</v>
      </c>
      <c r="BE28" s="45">
        <f t="shared" si="28"/>
        <v>0.13215849318872758</v>
      </c>
      <c r="BF28" s="45">
        <f t="shared" si="28"/>
        <v>0.13215849318872758</v>
      </c>
      <c r="BG28" s="45">
        <f t="shared" si="28"/>
        <v>0.13215849318872758</v>
      </c>
      <c r="BH28" s="45">
        <f t="shared" si="28"/>
        <v>0.13215849318872758</v>
      </c>
      <c r="BI28" s="45">
        <f t="shared" si="28"/>
        <v>0.13215849318872758</v>
      </c>
      <c r="BJ28" s="45"/>
      <c r="BK28" s="45"/>
      <c r="BM28" s="45">
        <f t="shared" si="29"/>
        <v>0</v>
      </c>
      <c r="BN28" s="45">
        <f t="shared" si="29"/>
        <v>0</v>
      </c>
      <c r="BO28" s="45">
        <f t="shared" si="29"/>
        <v>0</v>
      </c>
      <c r="BP28" s="45">
        <f t="shared" si="29"/>
        <v>0</v>
      </c>
      <c r="BQ28" s="45">
        <f t="shared" si="29"/>
        <v>0</v>
      </c>
      <c r="BR28" s="45">
        <f t="shared" si="29"/>
        <v>0</v>
      </c>
      <c r="BS28" s="45">
        <f t="shared" si="29"/>
        <v>0</v>
      </c>
      <c r="BT28" s="45">
        <f t="shared" si="29"/>
        <v>0</v>
      </c>
      <c r="BU28" s="45">
        <f t="shared" si="29"/>
        <v>0</v>
      </c>
      <c r="BV28" s="45">
        <f t="shared" si="29"/>
        <v>0</v>
      </c>
      <c r="BW28" s="45">
        <f t="shared" si="30"/>
        <v>0</v>
      </c>
      <c r="BX28" s="45">
        <f t="shared" si="30"/>
        <v>0</v>
      </c>
      <c r="BY28" s="45">
        <f t="shared" si="30"/>
        <v>0</v>
      </c>
      <c r="BZ28" s="45">
        <f t="shared" si="30"/>
        <v>0</v>
      </c>
      <c r="CA28" s="45">
        <f t="shared" si="30"/>
        <v>0</v>
      </c>
      <c r="CB28" s="45">
        <f t="shared" si="30"/>
        <v>0</v>
      </c>
      <c r="CC28" s="45">
        <f t="shared" si="30"/>
        <v>0</v>
      </c>
      <c r="CD28" s="45">
        <f t="shared" si="30"/>
        <v>0</v>
      </c>
      <c r="CE28" s="45">
        <f t="shared" si="30"/>
        <v>0</v>
      </c>
      <c r="CF28" s="45">
        <f t="shared" si="30"/>
        <v>0</v>
      </c>
      <c r="CG28" s="45">
        <f t="shared" si="31"/>
        <v>0</v>
      </c>
      <c r="CH28" s="45">
        <f t="shared" si="31"/>
        <v>0</v>
      </c>
      <c r="CI28" s="45">
        <f t="shared" si="31"/>
        <v>0</v>
      </c>
      <c r="CJ28" s="45">
        <f t="shared" si="31"/>
        <v>0</v>
      </c>
      <c r="CK28" s="45">
        <f t="shared" si="31"/>
        <v>0</v>
      </c>
      <c r="CL28" s="45">
        <f t="shared" si="31"/>
        <v>0</v>
      </c>
      <c r="CM28" s="45">
        <f t="shared" si="31"/>
        <v>0</v>
      </c>
      <c r="CN28" s="45">
        <f t="shared" si="31"/>
        <v>0</v>
      </c>
      <c r="CO28" s="45">
        <f t="shared" si="31"/>
        <v>0</v>
      </c>
      <c r="CP28" s="45">
        <f t="shared" si="31"/>
        <v>0</v>
      </c>
      <c r="CQ28" s="45">
        <f t="shared" si="32"/>
        <v>0</v>
      </c>
      <c r="CR28" s="45">
        <f t="shared" si="32"/>
        <v>0</v>
      </c>
      <c r="CS28" s="45">
        <f t="shared" si="32"/>
        <v>0</v>
      </c>
      <c r="CT28" s="45">
        <f t="shared" si="32"/>
        <v>0</v>
      </c>
      <c r="CU28" s="45">
        <f t="shared" si="32"/>
        <v>0</v>
      </c>
      <c r="CV28" s="45">
        <f t="shared" si="32"/>
        <v>0</v>
      </c>
      <c r="CW28" s="45">
        <f t="shared" si="32"/>
        <v>0</v>
      </c>
      <c r="CX28" s="45">
        <f t="shared" si="32"/>
        <v>0</v>
      </c>
      <c r="CY28" s="45">
        <f t="shared" si="32"/>
        <v>0</v>
      </c>
      <c r="CZ28" s="45">
        <f t="shared" si="32"/>
        <v>0</v>
      </c>
      <c r="DA28" s="45">
        <f t="shared" si="32"/>
        <v>0</v>
      </c>
      <c r="DB28" s="45">
        <f t="shared" si="32"/>
        <v>0</v>
      </c>
      <c r="DC28" s="45">
        <f t="shared" si="32"/>
        <v>0</v>
      </c>
      <c r="DD28" s="45">
        <f t="shared" si="32"/>
        <v>0</v>
      </c>
      <c r="DF28" s="83">
        <f t="shared" si="12"/>
        <v>0</v>
      </c>
      <c r="DG28" s="83">
        <f t="shared" si="33"/>
        <v>0</v>
      </c>
      <c r="DH28" s="83">
        <f t="shared" si="33"/>
        <v>0</v>
      </c>
      <c r="DI28" s="83">
        <f t="shared" si="33"/>
        <v>0</v>
      </c>
      <c r="DJ28" s="83">
        <f t="shared" si="33"/>
        <v>0</v>
      </c>
      <c r="DK28" s="83">
        <f t="shared" si="33"/>
        <v>0</v>
      </c>
      <c r="DL28" s="83">
        <f t="shared" si="33"/>
        <v>0</v>
      </c>
      <c r="DM28" s="83">
        <f t="shared" si="33"/>
        <v>0</v>
      </c>
      <c r="DN28" s="83">
        <f t="shared" si="33"/>
        <v>0</v>
      </c>
      <c r="DO28" s="83">
        <f t="shared" si="33"/>
        <v>0</v>
      </c>
      <c r="DP28" s="83">
        <f t="shared" si="33"/>
        <v>0</v>
      </c>
      <c r="DQ28" s="83">
        <f t="shared" si="33"/>
        <v>0</v>
      </c>
      <c r="DR28" s="83">
        <f t="shared" si="33"/>
        <v>0</v>
      </c>
      <c r="DS28" s="83">
        <f t="shared" si="33"/>
        <v>0</v>
      </c>
      <c r="DT28" s="83">
        <f t="shared" si="33"/>
        <v>0</v>
      </c>
      <c r="DU28" s="83">
        <f t="shared" si="33"/>
        <v>0</v>
      </c>
      <c r="DV28" s="83">
        <f t="shared" si="33"/>
        <v>0</v>
      </c>
      <c r="DW28" s="83">
        <f t="shared" si="33"/>
        <v>0</v>
      </c>
      <c r="DX28" s="83">
        <f t="shared" si="33"/>
        <v>0</v>
      </c>
      <c r="DY28" s="83">
        <f t="shared" si="33"/>
        <v>0</v>
      </c>
      <c r="DZ28" s="83">
        <f t="shared" si="33"/>
        <v>0</v>
      </c>
      <c r="EA28" s="83">
        <f t="shared" si="33"/>
        <v>0</v>
      </c>
      <c r="EB28" s="83">
        <f t="shared" si="33"/>
        <v>0</v>
      </c>
      <c r="EC28" s="83">
        <f t="shared" si="33"/>
        <v>0</v>
      </c>
      <c r="ED28" s="83">
        <f t="shared" si="33"/>
        <v>0</v>
      </c>
      <c r="EE28" s="83">
        <f t="shared" si="33"/>
        <v>0</v>
      </c>
      <c r="EF28" s="83">
        <f t="shared" si="33"/>
        <v>0</v>
      </c>
      <c r="EG28" s="83">
        <f t="shared" si="33"/>
        <v>0</v>
      </c>
      <c r="EH28" s="83">
        <f t="shared" si="33"/>
        <v>0</v>
      </c>
      <c r="EI28" s="83">
        <f t="shared" si="33"/>
        <v>0</v>
      </c>
      <c r="EJ28" s="83">
        <f t="shared" si="33"/>
        <v>0</v>
      </c>
      <c r="EK28" s="83">
        <f t="shared" si="33"/>
        <v>0</v>
      </c>
      <c r="EL28" s="83">
        <f t="shared" si="33"/>
        <v>0</v>
      </c>
      <c r="EM28" s="83">
        <f t="shared" si="33"/>
        <v>0</v>
      </c>
      <c r="EN28" s="83">
        <f t="shared" si="33"/>
        <v>0</v>
      </c>
      <c r="EO28" s="83">
        <f t="shared" si="33"/>
        <v>0</v>
      </c>
      <c r="EP28" s="83">
        <f t="shared" si="33"/>
        <v>0</v>
      </c>
      <c r="EQ28" s="83">
        <f t="shared" si="33"/>
        <v>0</v>
      </c>
      <c r="ER28" s="83">
        <f t="shared" si="33"/>
        <v>0</v>
      </c>
      <c r="ES28" s="83">
        <f t="shared" si="33"/>
        <v>0</v>
      </c>
      <c r="ET28" s="83">
        <f t="shared" si="33"/>
        <v>0</v>
      </c>
      <c r="EU28" s="83">
        <f aca="true" t="shared" si="34" ref="DG28:EW34">IF($P28=EU$8,$O28,0)</f>
        <v>0</v>
      </c>
      <c r="EV28" s="83">
        <f t="shared" si="34"/>
        <v>0</v>
      </c>
      <c r="EW28" s="83">
        <f t="shared" si="34"/>
        <v>0</v>
      </c>
    </row>
    <row r="29" spans="1:153" ht="12.75" outlineLevel="1">
      <c r="A29" s="207">
        <v>19</v>
      </c>
      <c r="B29" s="218">
        <v>12</v>
      </c>
      <c r="C29" s="208">
        <v>636</v>
      </c>
      <c r="D29" s="192"/>
      <c r="E29" s="262">
        <v>1988</v>
      </c>
      <c r="F29" s="268">
        <v>70</v>
      </c>
      <c r="G29" s="246">
        <f t="shared" si="14"/>
        <v>12720</v>
      </c>
      <c r="H29" s="221">
        <f t="shared" si="0"/>
        <v>77.32275231960215</v>
      </c>
      <c r="I29" s="229"/>
      <c r="J29" s="45">
        <f t="shared" si="15"/>
        <v>77.32275231960215</v>
      </c>
      <c r="K29" s="194">
        <f t="shared" si="1"/>
        <v>50</v>
      </c>
      <c r="L29" s="193">
        <f t="shared" si="16"/>
        <v>1.546455046392043</v>
      </c>
      <c r="M29" s="194">
        <f t="shared" si="2"/>
        <v>50</v>
      </c>
      <c r="N29" s="50">
        <f t="shared" si="17"/>
        <v>77.32275231960215</v>
      </c>
      <c r="O29" s="217">
        <v>1300</v>
      </c>
      <c r="P29" s="224">
        <f t="shared" si="24"/>
        <v>2058</v>
      </c>
      <c r="Q29" s="228">
        <f t="shared" si="18"/>
        <v>31800</v>
      </c>
      <c r="R29" s="45">
        <f t="shared" si="25"/>
        <v>1.546455046392043</v>
      </c>
      <c r="S29" s="45">
        <f t="shared" si="25"/>
        <v>1.546455046392043</v>
      </c>
      <c r="T29" s="45">
        <f t="shared" si="25"/>
        <v>1.546455046392043</v>
      </c>
      <c r="U29" s="45">
        <f t="shared" si="25"/>
        <v>1.546455046392043</v>
      </c>
      <c r="V29" s="45">
        <f t="shared" si="25"/>
        <v>1.546455046392043</v>
      </c>
      <c r="W29" s="45">
        <f t="shared" si="25"/>
        <v>1.546455046392043</v>
      </c>
      <c r="X29" s="45">
        <f t="shared" si="25"/>
        <v>1.546455046392043</v>
      </c>
      <c r="Y29" s="45">
        <f t="shared" si="25"/>
        <v>1.546455046392043</v>
      </c>
      <c r="Z29" s="45">
        <f t="shared" si="25"/>
        <v>1.546455046392043</v>
      </c>
      <c r="AA29" s="45">
        <f t="shared" si="25"/>
        <v>1.546455046392043</v>
      </c>
      <c r="AB29" s="45">
        <f t="shared" si="26"/>
        <v>1.546455046392043</v>
      </c>
      <c r="AC29" s="45">
        <f t="shared" si="26"/>
        <v>1.546455046392043</v>
      </c>
      <c r="AD29" s="45">
        <f t="shared" si="26"/>
        <v>1.546455046392043</v>
      </c>
      <c r="AE29" s="45">
        <f t="shared" si="26"/>
        <v>1.546455046392043</v>
      </c>
      <c r="AF29" s="45">
        <f t="shared" si="26"/>
        <v>1.546455046392043</v>
      </c>
      <c r="AG29" s="45">
        <f t="shared" si="26"/>
        <v>1.546455046392043</v>
      </c>
      <c r="AH29" s="45">
        <f t="shared" si="26"/>
        <v>1.546455046392043</v>
      </c>
      <c r="AI29" s="45">
        <f t="shared" si="26"/>
        <v>1.546455046392043</v>
      </c>
      <c r="AJ29" s="45">
        <f t="shared" si="26"/>
        <v>1.546455046392043</v>
      </c>
      <c r="AK29" s="45">
        <f t="shared" si="26"/>
        <v>1.546455046392043</v>
      </c>
      <c r="AL29" s="45">
        <f t="shared" si="27"/>
        <v>1.546455046392043</v>
      </c>
      <c r="AM29" s="45">
        <f t="shared" si="27"/>
        <v>1.546455046392043</v>
      </c>
      <c r="AN29" s="45">
        <f t="shared" si="27"/>
        <v>1.546455046392043</v>
      </c>
      <c r="AO29" s="45">
        <f t="shared" si="27"/>
        <v>1.546455046392043</v>
      </c>
      <c r="AP29" s="45">
        <f t="shared" si="27"/>
        <v>1.546455046392043</v>
      </c>
      <c r="AQ29" s="45">
        <f t="shared" si="27"/>
        <v>1.546455046392043</v>
      </c>
      <c r="AR29" s="45">
        <f t="shared" si="27"/>
        <v>1.546455046392043</v>
      </c>
      <c r="AS29" s="45">
        <f t="shared" si="27"/>
        <v>1.546455046392043</v>
      </c>
      <c r="AT29" s="45">
        <f t="shared" si="27"/>
        <v>1.546455046392043</v>
      </c>
      <c r="AU29" s="45">
        <f t="shared" si="27"/>
        <v>1.546455046392043</v>
      </c>
      <c r="AV29" s="45">
        <f t="shared" si="28"/>
        <v>1.546455046392043</v>
      </c>
      <c r="AW29" s="45">
        <f t="shared" si="28"/>
        <v>1.546455046392043</v>
      </c>
      <c r="AX29" s="45">
        <f t="shared" si="28"/>
        <v>1.546455046392043</v>
      </c>
      <c r="AY29" s="45">
        <f t="shared" si="28"/>
        <v>1.546455046392043</v>
      </c>
      <c r="AZ29" s="45">
        <f t="shared" si="28"/>
        <v>1.546455046392043</v>
      </c>
      <c r="BA29" s="45">
        <f t="shared" si="28"/>
        <v>1.546455046392043</v>
      </c>
      <c r="BB29" s="45">
        <f t="shared" si="28"/>
        <v>1.546455046392043</v>
      </c>
      <c r="BC29" s="45">
        <f t="shared" si="28"/>
        <v>1.546455046392043</v>
      </c>
      <c r="BD29" s="45">
        <f t="shared" si="28"/>
        <v>1.546455046392043</v>
      </c>
      <c r="BE29" s="45">
        <f t="shared" si="28"/>
        <v>1.546455046392043</v>
      </c>
      <c r="BF29" s="45">
        <f t="shared" si="28"/>
        <v>1.546455046392043</v>
      </c>
      <c r="BG29" s="45">
        <f t="shared" si="28"/>
        <v>1.546455046392043</v>
      </c>
      <c r="BH29" s="45">
        <f t="shared" si="28"/>
        <v>1.546455046392043</v>
      </c>
      <c r="BI29" s="45">
        <f t="shared" si="28"/>
        <v>1.546455046392043</v>
      </c>
      <c r="BJ29" s="45"/>
      <c r="BK29" s="45"/>
      <c r="BM29" s="45">
        <f t="shared" si="29"/>
        <v>0</v>
      </c>
      <c r="BN29" s="45">
        <f t="shared" si="29"/>
        <v>0</v>
      </c>
      <c r="BO29" s="45">
        <f t="shared" si="29"/>
        <v>0</v>
      </c>
      <c r="BP29" s="45">
        <f t="shared" si="29"/>
        <v>0</v>
      </c>
      <c r="BQ29" s="45">
        <f t="shared" si="29"/>
        <v>0</v>
      </c>
      <c r="BR29" s="45">
        <f t="shared" si="29"/>
        <v>0</v>
      </c>
      <c r="BS29" s="45">
        <f t="shared" si="29"/>
        <v>0</v>
      </c>
      <c r="BT29" s="45">
        <f t="shared" si="29"/>
        <v>0</v>
      </c>
      <c r="BU29" s="45">
        <f t="shared" si="29"/>
        <v>0</v>
      </c>
      <c r="BV29" s="45">
        <f t="shared" si="29"/>
        <v>0</v>
      </c>
      <c r="BW29" s="45">
        <f t="shared" si="30"/>
        <v>0</v>
      </c>
      <c r="BX29" s="45">
        <f t="shared" si="30"/>
        <v>0</v>
      </c>
      <c r="BY29" s="45">
        <f t="shared" si="30"/>
        <v>0</v>
      </c>
      <c r="BZ29" s="45">
        <f t="shared" si="30"/>
        <v>0</v>
      </c>
      <c r="CA29" s="45">
        <f t="shared" si="30"/>
        <v>0</v>
      </c>
      <c r="CB29" s="45">
        <f t="shared" si="30"/>
        <v>0</v>
      </c>
      <c r="CC29" s="45">
        <f t="shared" si="30"/>
        <v>0</v>
      </c>
      <c r="CD29" s="45">
        <f t="shared" si="30"/>
        <v>0</v>
      </c>
      <c r="CE29" s="45">
        <f t="shared" si="30"/>
        <v>0</v>
      </c>
      <c r="CF29" s="45">
        <f t="shared" si="30"/>
        <v>0</v>
      </c>
      <c r="CG29" s="45">
        <f t="shared" si="31"/>
        <v>0</v>
      </c>
      <c r="CH29" s="45">
        <f t="shared" si="31"/>
        <v>0</v>
      </c>
      <c r="CI29" s="45">
        <f t="shared" si="31"/>
        <v>0</v>
      </c>
      <c r="CJ29" s="45">
        <f t="shared" si="31"/>
        <v>0</v>
      </c>
      <c r="CK29" s="45">
        <f t="shared" si="31"/>
        <v>0</v>
      </c>
      <c r="CL29" s="45">
        <f t="shared" si="31"/>
        <v>0</v>
      </c>
      <c r="CM29" s="45">
        <f t="shared" si="31"/>
        <v>0</v>
      </c>
      <c r="CN29" s="45">
        <f t="shared" si="31"/>
        <v>0</v>
      </c>
      <c r="CO29" s="45">
        <f t="shared" si="31"/>
        <v>0</v>
      </c>
      <c r="CP29" s="45">
        <f t="shared" si="31"/>
        <v>0</v>
      </c>
      <c r="CQ29" s="45">
        <f t="shared" si="32"/>
        <v>0</v>
      </c>
      <c r="CR29" s="45">
        <f t="shared" si="32"/>
        <v>0</v>
      </c>
      <c r="CS29" s="45">
        <f t="shared" si="32"/>
        <v>0</v>
      </c>
      <c r="CT29" s="45">
        <f t="shared" si="32"/>
        <v>0</v>
      </c>
      <c r="CU29" s="45">
        <f t="shared" si="32"/>
        <v>0</v>
      </c>
      <c r="CV29" s="45">
        <f t="shared" si="32"/>
        <v>0</v>
      </c>
      <c r="CW29" s="45">
        <f t="shared" si="32"/>
        <v>0</v>
      </c>
      <c r="CX29" s="45">
        <f t="shared" si="32"/>
        <v>0</v>
      </c>
      <c r="CY29" s="45">
        <f t="shared" si="32"/>
        <v>0</v>
      </c>
      <c r="CZ29" s="45">
        <f t="shared" si="32"/>
        <v>0</v>
      </c>
      <c r="DA29" s="45">
        <f t="shared" si="32"/>
        <v>0</v>
      </c>
      <c r="DB29" s="45">
        <f t="shared" si="32"/>
        <v>0</v>
      </c>
      <c r="DC29" s="45">
        <f t="shared" si="32"/>
        <v>0</v>
      </c>
      <c r="DD29" s="45">
        <f t="shared" si="32"/>
        <v>0</v>
      </c>
      <c r="DF29" s="83">
        <f t="shared" si="12"/>
        <v>0</v>
      </c>
      <c r="DG29" s="83">
        <f t="shared" si="34"/>
        <v>0</v>
      </c>
      <c r="DH29" s="83">
        <f t="shared" si="34"/>
        <v>0</v>
      </c>
      <c r="DI29" s="83">
        <f t="shared" si="34"/>
        <v>0</v>
      </c>
      <c r="DJ29" s="83">
        <f t="shared" si="34"/>
        <v>0</v>
      </c>
      <c r="DK29" s="83">
        <f t="shared" si="34"/>
        <v>0</v>
      </c>
      <c r="DL29" s="83">
        <f t="shared" si="34"/>
        <v>0</v>
      </c>
      <c r="DM29" s="83">
        <f t="shared" si="34"/>
        <v>0</v>
      </c>
      <c r="DN29" s="83">
        <f t="shared" si="34"/>
        <v>0</v>
      </c>
      <c r="DO29" s="83">
        <f t="shared" si="34"/>
        <v>0</v>
      </c>
      <c r="DP29" s="83">
        <f t="shared" si="34"/>
        <v>0</v>
      </c>
      <c r="DQ29" s="83">
        <f t="shared" si="34"/>
        <v>0</v>
      </c>
      <c r="DR29" s="83">
        <f t="shared" si="34"/>
        <v>0</v>
      </c>
      <c r="DS29" s="83">
        <f t="shared" si="34"/>
        <v>0</v>
      </c>
      <c r="DT29" s="83">
        <f t="shared" si="34"/>
        <v>0</v>
      </c>
      <c r="DU29" s="83">
        <f t="shared" si="34"/>
        <v>0</v>
      </c>
      <c r="DV29" s="83">
        <f t="shared" si="34"/>
        <v>0</v>
      </c>
      <c r="DW29" s="83">
        <f t="shared" si="34"/>
        <v>0</v>
      </c>
      <c r="DX29" s="83">
        <f t="shared" si="34"/>
        <v>0</v>
      </c>
      <c r="DY29" s="83">
        <f t="shared" si="34"/>
        <v>0</v>
      </c>
      <c r="DZ29" s="83">
        <f t="shared" si="34"/>
        <v>0</v>
      </c>
      <c r="EA29" s="83">
        <f t="shared" si="34"/>
        <v>0</v>
      </c>
      <c r="EB29" s="83">
        <f t="shared" si="34"/>
        <v>0</v>
      </c>
      <c r="EC29" s="83">
        <f t="shared" si="34"/>
        <v>0</v>
      </c>
      <c r="ED29" s="83">
        <f t="shared" si="34"/>
        <v>0</v>
      </c>
      <c r="EE29" s="83">
        <f t="shared" si="34"/>
        <v>0</v>
      </c>
      <c r="EF29" s="83">
        <f t="shared" si="34"/>
        <v>0</v>
      </c>
      <c r="EG29" s="83">
        <f t="shared" si="34"/>
        <v>0</v>
      </c>
      <c r="EH29" s="83">
        <f t="shared" si="34"/>
        <v>0</v>
      </c>
      <c r="EI29" s="83">
        <f t="shared" si="34"/>
        <v>0</v>
      </c>
      <c r="EJ29" s="83">
        <f t="shared" si="34"/>
        <v>0</v>
      </c>
      <c r="EK29" s="83">
        <f t="shared" si="34"/>
        <v>0</v>
      </c>
      <c r="EL29" s="83">
        <f t="shared" si="34"/>
        <v>0</v>
      </c>
      <c r="EM29" s="83">
        <f t="shared" si="34"/>
        <v>0</v>
      </c>
      <c r="EN29" s="83">
        <f t="shared" si="34"/>
        <v>0</v>
      </c>
      <c r="EO29" s="83">
        <f t="shared" si="34"/>
        <v>0</v>
      </c>
      <c r="EP29" s="83">
        <f t="shared" si="34"/>
        <v>0</v>
      </c>
      <c r="EQ29" s="83">
        <f t="shared" si="34"/>
        <v>0</v>
      </c>
      <c r="ER29" s="83">
        <f t="shared" si="34"/>
        <v>0</v>
      </c>
      <c r="ES29" s="83">
        <f t="shared" si="34"/>
        <v>0</v>
      </c>
      <c r="ET29" s="83">
        <f t="shared" si="34"/>
        <v>0</v>
      </c>
      <c r="EU29" s="83">
        <f t="shared" si="34"/>
        <v>0</v>
      </c>
      <c r="EV29" s="83">
        <f t="shared" si="34"/>
        <v>0</v>
      </c>
      <c r="EW29" s="83">
        <f t="shared" si="34"/>
        <v>0</v>
      </c>
    </row>
    <row r="30" spans="1:153" ht="12.75" outlineLevel="1">
      <c r="A30" s="207">
        <v>20</v>
      </c>
      <c r="B30" s="218">
        <v>13</v>
      </c>
      <c r="C30" s="208">
        <v>12</v>
      </c>
      <c r="D30" s="192"/>
      <c r="E30" s="262">
        <v>1989</v>
      </c>
      <c r="F30" s="268">
        <v>70</v>
      </c>
      <c r="G30" s="246">
        <f t="shared" si="14"/>
        <v>228</v>
      </c>
      <c r="H30" s="221">
        <f t="shared" si="0"/>
        <v>1.621022061207592</v>
      </c>
      <c r="I30" s="229"/>
      <c r="J30" s="45">
        <f t="shared" si="15"/>
        <v>1.621022061207592</v>
      </c>
      <c r="K30" s="194">
        <f t="shared" si="1"/>
        <v>51</v>
      </c>
      <c r="L30" s="193">
        <f t="shared" si="16"/>
        <v>0.03178474629818808</v>
      </c>
      <c r="M30" s="194">
        <f t="shared" si="2"/>
        <v>51</v>
      </c>
      <c r="N30" s="50">
        <f t="shared" si="17"/>
        <v>1.621022061207592</v>
      </c>
      <c r="O30" s="217">
        <v>25</v>
      </c>
      <c r="P30" s="224">
        <f t="shared" si="24"/>
        <v>2059</v>
      </c>
      <c r="Q30" s="228">
        <f t="shared" si="18"/>
        <v>612</v>
      </c>
      <c r="R30" s="45">
        <f t="shared" si="25"/>
        <v>0.03178474629818808</v>
      </c>
      <c r="S30" s="45">
        <f t="shared" si="25"/>
        <v>0.03178474629818808</v>
      </c>
      <c r="T30" s="45">
        <f t="shared" si="25"/>
        <v>0.03178474629818808</v>
      </c>
      <c r="U30" s="45">
        <f t="shared" si="25"/>
        <v>0.03178474629818808</v>
      </c>
      <c r="V30" s="45">
        <f t="shared" si="25"/>
        <v>0.03178474629818808</v>
      </c>
      <c r="W30" s="45">
        <f t="shared" si="25"/>
        <v>0.03178474629818808</v>
      </c>
      <c r="X30" s="45">
        <f t="shared" si="25"/>
        <v>0.03178474629818808</v>
      </c>
      <c r="Y30" s="45">
        <f t="shared" si="25"/>
        <v>0.03178474629818808</v>
      </c>
      <c r="Z30" s="45">
        <f t="shared" si="25"/>
        <v>0.03178474629818808</v>
      </c>
      <c r="AA30" s="45">
        <f t="shared" si="25"/>
        <v>0.03178474629818808</v>
      </c>
      <c r="AB30" s="45">
        <f t="shared" si="26"/>
        <v>0.03178474629818808</v>
      </c>
      <c r="AC30" s="45">
        <f t="shared" si="26"/>
        <v>0.03178474629818808</v>
      </c>
      <c r="AD30" s="45">
        <f t="shared" si="26"/>
        <v>0.03178474629818808</v>
      </c>
      <c r="AE30" s="45">
        <f t="shared" si="26"/>
        <v>0.03178474629818808</v>
      </c>
      <c r="AF30" s="45">
        <f t="shared" si="26"/>
        <v>0.03178474629818808</v>
      </c>
      <c r="AG30" s="45">
        <f t="shared" si="26"/>
        <v>0.03178474629818808</v>
      </c>
      <c r="AH30" s="45">
        <f t="shared" si="26"/>
        <v>0.03178474629818808</v>
      </c>
      <c r="AI30" s="45">
        <f t="shared" si="26"/>
        <v>0.03178474629818808</v>
      </c>
      <c r="AJ30" s="45">
        <f t="shared" si="26"/>
        <v>0.03178474629818808</v>
      </c>
      <c r="AK30" s="45">
        <f t="shared" si="26"/>
        <v>0.03178474629818808</v>
      </c>
      <c r="AL30" s="45">
        <f t="shared" si="27"/>
        <v>0.03178474629818808</v>
      </c>
      <c r="AM30" s="45">
        <f t="shared" si="27"/>
        <v>0.03178474629818808</v>
      </c>
      <c r="AN30" s="45">
        <f t="shared" si="27"/>
        <v>0.03178474629818808</v>
      </c>
      <c r="AO30" s="45">
        <f t="shared" si="27"/>
        <v>0.03178474629818808</v>
      </c>
      <c r="AP30" s="45">
        <f t="shared" si="27"/>
        <v>0.03178474629818808</v>
      </c>
      <c r="AQ30" s="45">
        <f t="shared" si="27"/>
        <v>0.03178474629818808</v>
      </c>
      <c r="AR30" s="45">
        <f t="shared" si="27"/>
        <v>0.03178474629818808</v>
      </c>
      <c r="AS30" s="45">
        <f t="shared" si="27"/>
        <v>0.03178474629818808</v>
      </c>
      <c r="AT30" s="45">
        <f t="shared" si="27"/>
        <v>0.03178474629818808</v>
      </c>
      <c r="AU30" s="45">
        <f t="shared" si="27"/>
        <v>0.03178474629818808</v>
      </c>
      <c r="AV30" s="45">
        <f t="shared" si="28"/>
        <v>0.03178474629818808</v>
      </c>
      <c r="AW30" s="45">
        <f t="shared" si="28"/>
        <v>0.03178474629818808</v>
      </c>
      <c r="AX30" s="45">
        <f t="shared" si="28"/>
        <v>0.03178474629818808</v>
      </c>
      <c r="AY30" s="45">
        <f t="shared" si="28"/>
        <v>0.03178474629818808</v>
      </c>
      <c r="AZ30" s="45">
        <f t="shared" si="28"/>
        <v>0.03178474629818808</v>
      </c>
      <c r="BA30" s="45">
        <f t="shared" si="28"/>
        <v>0.03178474629818808</v>
      </c>
      <c r="BB30" s="45">
        <f t="shared" si="28"/>
        <v>0.03178474629818808</v>
      </c>
      <c r="BC30" s="45">
        <f t="shared" si="28"/>
        <v>0.03178474629818808</v>
      </c>
      <c r="BD30" s="45">
        <f t="shared" si="28"/>
        <v>0.03178474629818808</v>
      </c>
      <c r="BE30" s="45">
        <f t="shared" si="28"/>
        <v>0.03178474629818808</v>
      </c>
      <c r="BF30" s="45">
        <f t="shared" si="28"/>
        <v>0.03178474629818808</v>
      </c>
      <c r="BG30" s="45">
        <f t="shared" si="28"/>
        <v>0.03178474629818808</v>
      </c>
      <c r="BH30" s="45">
        <f t="shared" si="28"/>
        <v>0.03178474629818808</v>
      </c>
      <c r="BI30" s="45">
        <f t="shared" si="28"/>
        <v>0.03178474629818808</v>
      </c>
      <c r="BJ30" s="45"/>
      <c r="BK30" s="45"/>
      <c r="BM30" s="45">
        <f t="shared" si="29"/>
        <v>0</v>
      </c>
      <c r="BN30" s="45">
        <f t="shared" si="29"/>
        <v>0</v>
      </c>
      <c r="BO30" s="45">
        <f t="shared" si="29"/>
        <v>0</v>
      </c>
      <c r="BP30" s="45">
        <f t="shared" si="29"/>
        <v>0</v>
      </c>
      <c r="BQ30" s="45">
        <f t="shared" si="29"/>
        <v>0</v>
      </c>
      <c r="BR30" s="45">
        <f t="shared" si="29"/>
        <v>0</v>
      </c>
      <c r="BS30" s="45">
        <f t="shared" si="29"/>
        <v>0</v>
      </c>
      <c r="BT30" s="45">
        <f t="shared" si="29"/>
        <v>0</v>
      </c>
      <c r="BU30" s="45">
        <f t="shared" si="29"/>
        <v>0</v>
      </c>
      <c r="BV30" s="45">
        <f t="shared" si="29"/>
        <v>0</v>
      </c>
      <c r="BW30" s="45">
        <f t="shared" si="30"/>
        <v>0</v>
      </c>
      <c r="BX30" s="45">
        <f t="shared" si="30"/>
        <v>0</v>
      </c>
      <c r="BY30" s="45">
        <f t="shared" si="30"/>
        <v>0</v>
      </c>
      <c r="BZ30" s="45">
        <f t="shared" si="30"/>
        <v>0</v>
      </c>
      <c r="CA30" s="45">
        <f t="shared" si="30"/>
        <v>0</v>
      </c>
      <c r="CB30" s="45">
        <f t="shared" si="30"/>
        <v>0</v>
      </c>
      <c r="CC30" s="45">
        <f t="shared" si="30"/>
        <v>0</v>
      </c>
      <c r="CD30" s="45">
        <f t="shared" si="30"/>
        <v>0</v>
      </c>
      <c r="CE30" s="45">
        <f t="shared" si="30"/>
        <v>0</v>
      </c>
      <c r="CF30" s="45">
        <f t="shared" si="30"/>
        <v>0</v>
      </c>
      <c r="CG30" s="45">
        <f t="shared" si="31"/>
        <v>0</v>
      </c>
      <c r="CH30" s="45">
        <f t="shared" si="31"/>
        <v>0</v>
      </c>
      <c r="CI30" s="45">
        <f t="shared" si="31"/>
        <v>0</v>
      </c>
      <c r="CJ30" s="45">
        <f t="shared" si="31"/>
        <v>0</v>
      </c>
      <c r="CK30" s="45">
        <f t="shared" si="31"/>
        <v>0</v>
      </c>
      <c r="CL30" s="45">
        <f t="shared" si="31"/>
        <v>0</v>
      </c>
      <c r="CM30" s="45">
        <f t="shared" si="31"/>
        <v>0</v>
      </c>
      <c r="CN30" s="45">
        <f t="shared" si="31"/>
        <v>0</v>
      </c>
      <c r="CO30" s="45">
        <f t="shared" si="31"/>
        <v>0</v>
      </c>
      <c r="CP30" s="45">
        <f t="shared" si="31"/>
        <v>0</v>
      </c>
      <c r="CQ30" s="45">
        <f t="shared" si="32"/>
        <v>0</v>
      </c>
      <c r="CR30" s="45">
        <f t="shared" si="32"/>
        <v>0</v>
      </c>
      <c r="CS30" s="45">
        <f t="shared" si="32"/>
        <v>0</v>
      </c>
      <c r="CT30" s="45">
        <f t="shared" si="32"/>
        <v>0</v>
      </c>
      <c r="CU30" s="45">
        <f t="shared" si="32"/>
        <v>0</v>
      </c>
      <c r="CV30" s="45">
        <f t="shared" si="32"/>
        <v>0</v>
      </c>
      <c r="CW30" s="45">
        <f t="shared" si="32"/>
        <v>0</v>
      </c>
      <c r="CX30" s="45">
        <f t="shared" si="32"/>
        <v>0</v>
      </c>
      <c r="CY30" s="45">
        <f t="shared" si="32"/>
        <v>0</v>
      </c>
      <c r="CZ30" s="45">
        <f t="shared" si="32"/>
        <v>0</v>
      </c>
      <c r="DA30" s="45">
        <f t="shared" si="32"/>
        <v>0</v>
      </c>
      <c r="DB30" s="45">
        <f t="shared" si="32"/>
        <v>0</v>
      </c>
      <c r="DC30" s="45">
        <f t="shared" si="32"/>
        <v>0</v>
      </c>
      <c r="DD30" s="45">
        <f t="shared" si="32"/>
        <v>0</v>
      </c>
      <c r="DF30" s="83">
        <f t="shared" si="12"/>
        <v>0</v>
      </c>
      <c r="DG30" s="83">
        <f t="shared" si="34"/>
        <v>0</v>
      </c>
      <c r="DH30" s="83">
        <f t="shared" si="34"/>
        <v>0</v>
      </c>
      <c r="DI30" s="83">
        <f t="shared" si="34"/>
        <v>0</v>
      </c>
      <c r="DJ30" s="83">
        <f t="shared" si="34"/>
        <v>0</v>
      </c>
      <c r="DK30" s="83">
        <f t="shared" si="34"/>
        <v>0</v>
      </c>
      <c r="DL30" s="83">
        <f t="shared" si="34"/>
        <v>0</v>
      </c>
      <c r="DM30" s="83">
        <f t="shared" si="34"/>
        <v>0</v>
      </c>
      <c r="DN30" s="83">
        <f t="shared" si="34"/>
        <v>0</v>
      </c>
      <c r="DO30" s="83">
        <f t="shared" si="34"/>
        <v>0</v>
      </c>
      <c r="DP30" s="83">
        <f t="shared" si="34"/>
        <v>0</v>
      </c>
      <c r="DQ30" s="83">
        <f t="shared" si="34"/>
        <v>0</v>
      </c>
      <c r="DR30" s="83">
        <f t="shared" si="34"/>
        <v>0</v>
      </c>
      <c r="DS30" s="83">
        <f t="shared" si="34"/>
        <v>0</v>
      </c>
      <c r="DT30" s="83">
        <f t="shared" si="34"/>
        <v>0</v>
      </c>
      <c r="DU30" s="83">
        <f t="shared" si="34"/>
        <v>0</v>
      </c>
      <c r="DV30" s="83">
        <f t="shared" si="34"/>
        <v>0</v>
      </c>
      <c r="DW30" s="83">
        <f t="shared" si="34"/>
        <v>0</v>
      </c>
      <c r="DX30" s="83">
        <f t="shared" si="34"/>
        <v>0</v>
      </c>
      <c r="DY30" s="83">
        <f t="shared" si="34"/>
        <v>0</v>
      </c>
      <c r="DZ30" s="83">
        <f t="shared" si="34"/>
        <v>0</v>
      </c>
      <c r="EA30" s="83">
        <f t="shared" si="34"/>
        <v>0</v>
      </c>
      <c r="EB30" s="83">
        <f t="shared" si="34"/>
        <v>0</v>
      </c>
      <c r="EC30" s="83">
        <f t="shared" si="34"/>
        <v>0</v>
      </c>
      <c r="ED30" s="83">
        <f t="shared" si="34"/>
        <v>0</v>
      </c>
      <c r="EE30" s="83">
        <f t="shared" si="34"/>
        <v>0</v>
      </c>
      <c r="EF30" s="83">
        <f t="shared" si="34"/>
        <v>0</v>
      </c>
      <c r="EG30" s="83">
        <f t="shared" si="34"/>
        <v>0</v>
      </c>
      <c r="EH30" s="83">
        <f t="shared" si="34"/>
        <v>0</v>
      </c>
      <c r="EI30" s="83">
        <f t="shared" si="34"/>
        <v>0</v>
      </c>
      <c r="EJ30" s="83">
        <f t="shared" si="34"/>
        <v>0</v>
      </c>
      <c r="EK30" s="83">
        <f t="shared" si="34"/>
        <v>0</v>
      </c>
      <c r="EL30" s="83">
        <f t="shared" si="34"/>
        <v>0</v>
      </c>
      <c r="EM30" s="83">
        <f t="shared" si="34"/>
        <v>0</v>
      </c>
      <c r="EN30" s="83">
        <f t="shared" si="34"/>
        <v>0</v>
      </c>
      <c r="EO30" s="83">
        <f t="shared" si="34"/>
        <v>0</v>
      </c>
      <c r="EP30" s="83">
        <f t="shared" si="34"/>
        <v>0</v>
      </c>
      <c r="EQ30" s="83">
        <f t="shared" si="34"/>
        <v>0</v>
      </c>
      <c r="ER30" s="83">
        <f t="shared" si="34"/>
        <v>0</v>
      </c>
      <c r="ES30" s="83">
        <f t="shared" si="34"/>
        <v>0</v>
      </c>
      <c r="ET30" s="83">
        <f t="shared" si="34"/>
        <v>0</v>
      </c>
      <c r="EU30" s="83">
        <f t="shared" si="34"/>
        <v>0</v>
      </c>
      <c r="EV30" s="83">
        <f t="shared" si="34"/>
        <v>0</v>
      </c>
      <c r="EW30" s="83">
        <f t="shared" si="34"/>
        <v>0</v>
      </c>
    </row>
    <row r="31" spans="1:153" ht="12.75" outlineLevel="1">
      <c r="A31" s="207">
        <v>21</v>
      </c>
      <c r="B31" s="218">
        <v>14</v>
      </c>
      <c r="C31" s="208">
        <v>178</v>
      </c>
      <c r="D31" s="192"/>
      <c r="E31" s="262">
        <v>1995</v>
      </c>
      <c r="F31" s="268">
        <v>70</v>
      </c>
      <c r="G31" s="246">
        <f t="shared" si="14"/>
        <v>2314</v>
      </c>
      <c r="H31" s="221">
        <f t="shared" si="0"/>
        <v>45.24521174425623</v>
      </c>
      <c r="I31" s="229"/>
      <c r="J31" s="45">
        <f t="shared" si="15"/>
        <v>45.24521174425623</v>
      </c>
      <c r="K31" s="194">
        <f t="shared" si="1"/>
        <v>57</v>
      </c>
      <c r="L31" s="193">
        <f t="shared" si="16"/>
        <v>0.7937756446360742</v>
      </c>
      <c r="M31" s="194">
        <f t="shared" si="2"/>
        <v>57</v>
      </c>
      <c r="N31" s="50">
        <f t="shared" si="17"/>
        <v>45.24521174425623</v>
      </c>
      <c r="O31" s="217">
        <v>300</v>
      </c>
      <c r="P31" s="224">
        <f>E31+F31</f>
        <v>2065</v>
      </c>
      <c r="Q31" s="228">
        <f>C31*K31</f>
        <v>10146</v>
      </c>
      <c r="R31" s="45">
        <f t="shared" si="25"/>
        <v>0.7937756446360742</v>
      </c>
      <c r="S31" s="45">
        <f t="shared" si="25"/>
        <v>0.7937756446360742</v>
      </c>
      <c r="T31" s="45">
        <f t="shared" si="25"/>
        <v>0.7937756446360742</v>
      </c>
      <c r="U31" s="45">
        <f t="shared" si="25"/>
        <v>0.7937756446360742</v>
      </c>
      <c r="V31" s="45">
        <f t="shared" si="25"/>
        <v>0.7937756446360742</v>
      </c>
      <c r="W31" s="45">
        <f t="shared" si="25"/>
        <v>0.7937756446360742</v>
      </c>
      <c r="X31" s="45">
        <f t="shared" si="25"/>
        <v>0.7937756446360742</v>
      </c>
      <c r="Y31" s="45">
        <f t="shared" si="25"/>
        <v>0.7937756446360742</v>
      </c>
      <c r="Z31" s="45">
        <f t="shared" si="25"/>
        <v>0.7937756446360742</v>
      </c>
      <c r="AA31" s="45">
        <f t="shared" si="25"/>
        <v>0.7937756446360742</v>
      </c>
      <c r="AB31" s="45">
        <f t="shared" si="26"/>
        <v>0.7937756446360742</v>
      </c>
      <c r="AC31" s="45">
        <f t="shared" si="26"/>
        <v>0.7937756446360742</v>
      </c>
      <c r="AD31" s="45">
        <f t="shared" si="26"/>
        <v>0.7937756446360742</v>
      </c>
      <c r="AE31" s="45">
        <f t="shared" si="26"/>
        <v>0.7937756446360742</v>
      </c>
      <c r="AF31" s="45">
        <f t="shared" si="26"/>
        <v>0.7937756446360742</v>
      </c>
      <c r="AG31" s="45">
        <f t="shared" si="26"/>
        <v>0.7937756446360742</v>
      </c>
      <c r="AH31" s="45">
        <f t="shared" si="26"/>
        <v>0.7937756446360742</v>
      </c>
      <c r="AI31" s="45">
        <f t="shared" si="26"/>
        <v>0.7937756446360742</v>
      </c>
      <c r="AJ31" s="45">
        <f t="shared" si="26"/>
        <v>0.7937756446360742</v>
      </c>
      <c r="AK31" s="45">
        <f t="shared" si="26"/>
        <v>0.7937756446360742</v>
      </c>
      <c r="AL31" s="45">
        <f t="shared" si="27"/>
        <v>0.7937756446360742</v>
      </c>
      <c r="AM31" s="45">
        <f t="shared" si="27"/>
        <v>0.7937756446360742</v>
      </c>
      <c r="AN31" s="45">
        <f t="shared" si="27"/>
        <v>0.7937756446360742</v>
      </c>
      <c r="AO31" s="45">
        <f t="shared" si="27"/>
        <v>0.7937756446360742</v>
      </c>
      <c r="AP31" s="45">
        <f t="shared" si="27"/>
        <v>0.7937756446360742</v>
      </c>
      <c r="AQ31" s="45">
        <f t="shared" si="27"/>
        <v>0.7937756446360742</v>
      </c>
      <c r="AR31" s="45">
        <f t="shared" si="27"/>
        <v>0.7937756446360742</v>
      </c>
      <c r="AS31" s="45">
        <f t="shared" si="27"/>
        <v>0.7937756446360742</v>
      </c>
      <c r="AT31" s="45">
        <f t="shared" si="27"/>
        <v>0.7937756446360742</v>
      </c>
      <c r="AU31" s="45">
        <f t="shared" si="27"/>
        <v>0.7937756446360742</v>
      </c>
      <c r="AV31" s="45">
        <f t="shared" si="28"/>
        <v>0.7937756446360742</v>
      </c>
      <c r="AW31" s="45">
        <f t="shared" si="28"/>
        <v>0.7937756446360742</v>
      </c>
      <c r="AX31" s="45">
        <f t="shared" si="28"/>
        <v>0.7937756446360742</v>
      </c>
      <c r="AY31" s="45">
        <f t="shared" si="28"/>
        <v>0.7937756446360742</v>
      </c>
      <c r="AZ31" s="45">
        <f t="shared" si="28"/>
        <v>0.7937756446360742</v>
      </c>
      <c r="BA31" s="45">
        <f t="shared" si="28"/>
        <v>0.7937756446360742</v>
      </c>
      <c r="BB31" s="45">
        <f t="shared" si="28"/>
        <v>0.7937756446360742</v>
      </c>
      <c r="BC31" s="45">
        <f t="shared" si="28"/>
        <v>0.7937756446360742</v>
      </c>
      <c r="BD31" s="45">
        <f t="shared" si="28"/>
        <v>0.7937756446360742</v>
      </c>
      <c r="BE31" s="45">
        <f t="shared" si="28"/>
        <v>0.7937756446360742</v>
      </c>
      <c r="BF31" s="45">
        <f t="shared" si="28"/>
        <v>0.7937756446360742</v>
      </c>
      <c r="BG31" s="45">
        <f t="shared" si="28"/>
        <v>0.7937756446360742</v>
      </c>
      <c r="BH31" s="45">
        <f t="shared" si="28"/>
        <v>0.7937756446360742</v>
      </c>
      <c r="BI31" s="45">
        <f t="shared" si="28"/>
        <v>0.7937756446360742</v>
      </c>
      <c r="BJ31" s="45"/>
      <c r="BK31" s="45"/>
      <c r="BM31" s="45">
        <f t="shared" si="29"/>
        <v>0</v>
      </c>
      <c r="BN31" s="45">
        <f t="shared" si="29"/>
        <v>0</v>
      </c>
      <c r="BO31" s="45">
        <f t="shared" si="29"/>
        <v>0</v>
      </c>
      <c r="BP31" s="45">
        <f t="shared" si="29"/>
        <v>0</v>
      </c>
      <c r="BQ31" s="45">
        <f t="shared" si="29"/>
        <v>0</v>
      </c>
      <c r="BR31" s="45">
        <f t="shared" si="29"/>
        <v>0</v>
      </c>
      <c r="BS31" s="45">
        <f t="shared" si="29"/>
        <v>0</v>
      </c>
      <c r="BT31" s="45">
        <f t="shared" si="29"/>
        <v>0</v>
      </c>
      <c r="BU31" s="45">
        <f t="shared" si="29"/>
        <v>0</v>
      </c>
      <c r="BV31" s="45">
        <f t="shared" si="29"/>
        <v>0</v>
      </c>
      <c r="BW31" s="45">
        <f t="shared" si="30"/>
        <v>0</v>
      </c>
      <c r="BX31" s="45">
        <f t="shared" si="30"/>
        <v>0</v>
      </c>
      <c r="BY31" s="45">
        <f t="shared" si="30"/>
        <v>0</v>
      </c>
      <c r="BZ31" s="45">
        <f t="shared" si="30"/>
        <v>0</v>
      </c>
      <c r="CA31" s="45">
        <f t="shared" si="30"/>
        <v>0</v>
      </c>
      <c r="CB31" s="45">
        <f t="shared" si="30"/>
        <v>0</v>
      </c>
      <c r="CC31" s="45">
        <f t="shared" si="30"/>
        <v>0</v>
      </c>
      <c r="CD31" s="45">
        <f t="shared" si="30"/>
        <v>0</v>
      </c>
      <c r="CE31" s="45">
        <f t="shared" si="30"/>
        <v>0</v>
      </c>
      <c r="CF31" s="45">
        <f t="shared" si="30"/>
        <v>0</v>
      </c>
      <c r="CG31" s="45">
        <f t="shared" si="31"/>
        <v>0</v>
      </c>
      <c r="CH31" s="45">
        <f t="shared" si="31"/>
        <v>0</v>
      </c>
      <c r="CI31" s="45">
        <f t="shared" si="31"/>
        <v>0</v>
      </c>
      <c r="CJ31" s="45">
        <f t="shared" si="31"/>
        <v>0</v>
      </c>
      <c r="CK31" s="45">
        <f t="shared" si="31"/>
        <v>0</v>
      </c>
      <c r="CL31" s="45">
        <f t="shared" si="31"/>
        <v>0</v>
      </c>
      <c r="CM31" s="45">
        <f t="shared" si="31"/>
        <v>0</v>
      </c>
      <c r="CN31" s="45">
        <f t="shared" si="31"/>
        <v>0</v>
      </c>
      <c r="CO31" s="45">
        <f t="shared" si="31"/>
        <v>0</v>
      </c>
      <c r="CP31" s="45">
        <f t="shared" si="31"/>
        <v>0</v>
      </c>
      <c r="CQ31" s="45">
        <f t="shared" si="32"/>
        <v>0</v>
      </c>
      <c r="CR31" s="45">
        <f t="shared" si="32"/>
        <v>0</v>
      </c>
      <c r="CS31" s="45">
        <f t="shared" si="32"/>
        <v>0</v>
      </c>
      <c r="CT31" s="45">
        <f t="shared" si="32"/>
        <v>0</v>
      </c>
      <c r="CU31" s="45">
        <f t="shared" si="32"/>
        <v>0</v>
      </c>
      <c r="CV31" s="45">
        <f t="shared" si="32"/>
        <v>0</v>
      </c>
      <c r="CW31" s="45">
        <f t="shared" si="32"/>
        <v>0</v>
      </c>
      <c r="CX31" s="45">
        <f t="shared" si="32"/>
        <v>0</v>
      </c>
      <c r="CY31" s="45">
        <f t="shared" si="32"/>
        <v>0</v>
      </c>
      <c r="CZ31" s="45">
        <f t="shared" si="32"/>
        <v>0</v>
      </c>
      <c r="DA31" s="45">
        <f t="shared" si="32"/>
        <v>0</v>
      </c>
      <c r="DB31" s="45">
        <f t="shared" si="32"/>
        <v>0</v>
      </c>
      <c r="DC31" s="45">
        <f t="shared" si="32"/>
        <v>0</v>
      </c>
      <c r="DD31" s="45">
        <f t="shared" si="32"/>
        <v>0</v>
      </c>
      <c r="DF31" s="83">
        <f t="shared" si="12"/>
        <v>0</v>
      </c>
      <c r="DG31" s="83">
        <f t="shared" si="34"/>
        <v>0</v>
      </c>
      <c r="DH31" s="83">
        <f t="shared" si="34"/>
        <v>0</v>
      </c>
      <c r="DI31" s="83">
        <f t="shared" si="34"/>
        <v>0</v>
      </c>
      <c r="DJ31" s="83">
        <f t="shared" si="34"/>
        <v>0</v>
      </c>
      <c r="DK31" s="83">
        <f t="shared" si="34"/>
        <v>0</v>
      </c>
      <c r="DL31" s="83">
        <f t="shared" si="34"/>
        <v>0</v>
      </c>
      <c r="DM31" s="83">
        <f t="shared" si="34"/>
        <v>0</v>
      </c>
      <c r="DN31" s="83">
        <f t="shared" si="34"/>
        <v>0</v>
      </c>
      <c r="DO31" s="83">
        <f t="shared" si="34"/>
        <v>0</v>
      </c>
      <c r="DP31" s="83">
        <f t="shared" si="34"/>
        <v>0</v>
      </c>
      <c r="DQ31" s="83">
        <f t="shared" si="34"/>
        <v>0</v>
      </c>
      <c r="DR31" s="83">
        <f t="shared" si="34"/>
        <v>0</v>
      </c>
      <c r="DS31" s="83">
        <f t="shared" si="34"/>
        <v>0</v>
      </c>
      <c r="DT31" s="83">
        <f t="shared" si="34"/>
        <v>0</v>
      </c>
      <c r="DU31" s="83">
        <f t="shared" si="34"/>
        <v>0</v>
      </c>
      <c r="DV31" s="83">
        <f t="shared" si="34"/>
        <v>0</v>
      </c>
      <c r="DW31" s="83">
        <f t="shared" si="34"/>
        <v>0</v>
      </c>
      <c r="DX31" s="83">
        <f t="shared" si="34"/>
        <v>0</v>
      </c>
      <c r="DY31" s="83">
        <f t="shared" si="34"/>
        <v>0</v>
      </c>
      <c r="DZ31" s="83">
        <f t="shared" si="34"/>
        <v>0</v>
      </c>
      <c r="EA31" s="83">
        <f t="shared" si="34"/>
        <v>0</v>
      </c>
      <c r="EB31" s="83">
        <f t="shared" si="34"/>
        <v>0</v>
      </c>
      <c r="EC31" s="83">
        <f t="shared" si="34"/>
        <v>0</v>
      </c>
      <c r="ED31" s="83">
        <f t="shared" si="34"/>
        <v>0</v>
      </c>
      <c r="EE31" s="83">
        <f t="shared" si="34"/>
        <v>0</v>
      </c>
      <c r="EF31" s="83">
        <f t="shared" si="34"/>
        <v>0</v>
      </c>
      <c r="EG31" s="83">
        <f t="shared" si="34"/>
        <v>0</v>
      </c>
      <c r="EH31" s="83">
        <f t="shared" si="34"/>
        <v>0</v>
      </c>
      <c r="EI31" s="83">
        <f t="shared" si="34"/>
        <v>0</v>
      </c>
      <c r="EJ31" s="83">
        <f t="shared" si="34"/>
        <v>0</v>
      </c>
      <c r="EK31" s="83">
        <f t="shared" si="34"/>
        <v>0</v>
      </c>
      <c r="EL31" s="83">
        <f t="shared" si="34"/>
        <v>0</v>
      </c>
      <c r="EM31" s="83">
        <f t="shared" si="34"/>
        <v>0</v>
      </c>
      <c r="EN31" s="83">
        <f t="shared" si="34"/>
        <v>0</v>
      </c>
      <c r="EO31" s="83">
        <f t="shared" si="34"/>
        <v>0</v>
      </c>
      <c r="EP31" s="83">
        <f t="shared" si="34"/>
        <v>0</v>
      </c>
      <c r="EQ31" s="83">
        <f t="shared" si="34"/>
        <v>0</v>
      </c>
      <c r="ER31" s="83">
        <f t="shared" si="34"/>
        <v>0</v>
      </c>
      <c r="ES31" s="83">
        <f t="shared" si="34"/>
        <v>0</v>
      </c>
      <c r="ET31" s="83">
        <f t="shared" si="34"/>
        <v>0</v>
      </c>
      <c r="EU31" s="83">
        <f t="shared" si="34"/>
        <v>0</v>
      </c>
      <c r="EV31" s="83">
        <f t="shared" si="34"/>
        <v>0</v>
      </c>
      <c r="EW31" s="83">
        <f t="shared" si="34"/>
        <v>0</v>
      </c>
    </row>
    <row r="32" spans="1:153" ht="12.75" outlineLevel="1">
      <c r="A32" s="231">
        <v>22</v>
      </c>
      <c r="B32" s="232" t="s">
        <v>144</v>
      </c>
      <c r="C32" s="233">
        <v>560</v>
      </c>
      <c r="D32" s="234"/>
      <c r="E32" s="263">
        <v>2005</v>
      </c>
      <c r="F32" s="269">
        <v>40</v>
      </c>
      <c r="G32" s="247">
        <f t="shared" si="14"/>
        <v>1680</v>
      </c>
      <c r="H32" s="235">
        <f t="shared" si="0"/>
        <v>408.24000000000007</v>
      </c>
      <c r="I32" s="236">
        <v>357.5</v>
      </c>
      <c r="J32" s="237">
        <f t="shared" si="15"/>
        <v>357.5</v>
      </c>
      <c r="K32" s="238">
        <f t="shared" si="1"/>
        <v>37</v>
      </c>
      <c r="L32" s="239">
        <f t="shared" si="16"/>
        <v>9.662162162162161</v>
      </c>
      <c r="M32" s="194">
        <f t="shared" si="2"/>
        <v>37</v>
      </c>
      <c r="N32" s="237">
        <f t="shared" si="17"/>
        <v>357.5</v>
      </c>
      <c r="O32" s="240">
        <v>500</v>
      </c>
      <c r="P32" s="241">
        <f>E32+F32</f>
        <v>2045</v>
      </c>
      <c r="Q32" s="228">
        <f t="shared" si="18"/>
        <v>20720</v>
      </c>
      <c r="R32" s="45">
        <f t="shared" si="25"/>
        <v>9.662162162162161</v>
      </c>
      <c r="S32" s="45">
        <f t="shared" si="25"/>
        <v>9.662162162162161</v>
      </c>
      <c r="T32" s="45">
        <f t="shared" si="25"/>
        <v>9.662162162162161</v>
      </c>
      <c r="U32" s="45">
        <f t="shared" si="25"/>
        <v>9.662162162162161</v>
      </c>
      <c r="V32" s="45">
        <f t="shared" si="25"/>
        <v>9.662162162162161</v>
      </c>
      <c r="W32" s="45">
        <f t="shared" si="25"/>
        <v>9.662162162162161</v>
      </c>
      <c r="X32" s="45">
        <f t="shared" si="25"/>
        <v>9.662162162162161</v>
      </c>
      <c r="Y32" s="45">
        <f t="shared" si="25"/>
        <v>9.662162162162161</v>
      </c>
      <c r="Z32" s="45">
        <f t="shared" si="25"/>
        <v>9.662162162162161</v>
      </c>
      <c r="AA32" s="45">
        <f t="shared" si="25"/>
        <v>9.662162162162161</v>
      </c>
      <c r="AB32" s="45">
        <f t="shared" si="26"/>
        <v>9.662162162162161</v>
      </c>
      <c r="AC32" s="45">
        <f t="shared" si="26"/>
        <v>9.662162162162161</v>
      </c>
      <c r="AD32" s="45">
        <f t="shared" si="26"/>
        <v>9.662162162162161</v>
      </c>
      <c r="AE32" s="45">
        <f t="shared" si="26"/>
        <v>9.662162162162161</v>
      </c>
      <c r="AF32" s="45">
        <f t="shared" si="26"/>
        <v>9.662162162162161</v>
      </c>
      <c r="AG32" s="45">
        <f t="shared" si="26"/>
        <v>9.662162162162161</v>
      </c>
      <c r="AH32" s="45">
        <f t="shared" si="26"/>
        <v>9.662162162162161</v>
      </c>
      <c r="AI32" s="45">
        <f t="shared" si="26"/>
        <v>9.662162162162161</v>
      </c>
      <c r="AJ32" s="45">
        <f t="shared" si="26"/>
        <v>9.662162162162161</v>
      </c>
      <c r="AK32" s="45">
        <f t="shared" si="26"/>
        <v>9.662162162162161</v>
      </c>
      <c r="AL32" s="45">
        <f t="shared" si="27"/>
        <v>9.662162162162161</v>
      </c>
      <c r="AM32" s="45">
        <f t="shared" si="27"/>
        <v>9.662162162162161</v>
      </c>
      <c r="AN32" s="45">
        <f t="shared" si="27"/>
        <v>9.662162162162161</v>
      </c>
      <c r="AO32" s="45">
        <f t="shared" si="27"/>
        <v>9.662162162162161</v>
      </c>
      <c r="AP32" s="45">
        <f t="shared" si="27"/>
        <v>9.662162162162161</v>
      </c>
      <c r="AQ32" s="45">
        <f t="shared" si="27"/>
        <v>9.662162162162161</v>
      </c>
      <c r="AR32" s="45">
        <f t="shared" si="27"/>
        <v>9.662162162162161</v>
      </c>
      <c r="AS32" s="45">
        <f t="shared" si="27"/>
        <v>9.662162162162161</v>
      </c>
      <c r="AT32" s="45">
        <f t="shared" si="27"/>
        <v>9.662162162162161</v>
      </c>
      <c r="AU32" s="45">
        <f t="shared" si="27"/>
        <v>9.662162162162161</v>
      </c>
      <c r="AV32" s="45">
        <f t="shared" si="28"/>
        <v>9.662162162162161</v>
      </c>
      <c r="AW32" s="45">
        <f t="shared" si="28"/>
        <v>9.662162162162161</v>
      </c>
      <c r="AX32" s="45">
        <f t="shared" si="28"/>
        <v>9.662162162162161</v>
      </c>
      <c r="AY32" s="45">
        <f t="shared" si="28"/>
        <v>9.662162162162161</v>
      </c>
      <c r="AZ32" s="45">
        <f t="shared" si="28"/>
        <v>9.662162162162161</v>
      </c>
      <c r="BA32" s="45">
        <f t="shared" si="28"/>
        <v>9.662162162162161</v>
      </c>
      <c r="BB32" s="45">
        <f t="shared" si="28"/>
        <v>9.662162162162161</v>
      </c>
      <c r="BC32" s="45">
        <f t="shared" si="28"/>
        <v>0</v>
      </c>
      <c r="BD32" s="45">
        <f t="shared" si="28"/>
        <v>0</v>
      </c>
      <c r="BE32" s="45">
        <f t="shared" si="28"/>
        <v>0</v>
      </c>
      <c r="BF32" s="45">
        <f t="shared" si="28"/>
        <v>0</v>
      </c>
      <c r="BG32" s="45">
        <f t="shared" si="28"/>
        <v>0</v>
      </c>
      <c r="BH32" s="45">
        <f t="shared" si="28"/>
        <v>0</v>
      </c>
      <c r="BI32" s="45">
        <f t="shared" si="28"/>
        <v>0</v>
      </c>
      <c r="BJ32" s="45"/>
      <c r="BK32" s="45"/>
      <c r="BM32" s="45">
        <f t="shared" si="29"/>
        <v>0</v>
      </c>
      <c r="BN32" s="45">
        <f t="shared" si="29"/>
        <v>0</v>
      </c>
      <c r="BO32" s="45">
        <f t="shared" si="29"/>
        <v>0</v>
      </c>
      <c r="BP32" s="45">
        <f t="shared" si="29"/>
        <v>0</v>
      </c>
      <c r="BQ32" s="45">
        <f t="shared" si="29"/>
        <v>0</v>
      </c>
      <c r="BR32" s="45">
        <f t="shared" si="29"/>
        <v>0</v>
      </c>
      <c r="BS32" s="45">
        <f t="shared" si="29"/>
        <v>0</v>
      </c>
      <c r="BT32" s="45">
        <f t="shared" si="29"/>
        <v>0</v>
      </c>
      <c r="BU32" s="45">
        <f t="shared" si="29"/>
        <v>0</v>
      </c>
      <c r="BV32" s="45">
        <f t="shared" si="29"/>
        <v>0</v>
      </c>
      <c r="BW32" s="45">
        <f t="shared" si="30"/>
        <v>0</v>
      </c>
      <c r="BX32" s="45">
        <f t="shared" si="30"/>
        <v>0</v>
      </c>
      <c r="BY32" s="45">
        <f t="shared" si="30"/>
        <v>0</v>
      </c>
      <c r="BZ32" s="45">
        <f t="shared" si="30"/>
        <v>0</v>
      </c>
      <c r="CA32" s="45">
        <f t="shared" si="30"/>
        <v>0</v>
      </c>
      <c r="CB32" s="45">
        <f t="shared" si="30"/>
        <v>0</v>
      </c>
      <c r="CC32" s="45">
        <f t="shared" si="30"/>
        <v>0</v>
      </c>
      <c r="CD32" s="45">
        <f t="shared" si="30"/>
        <v>0</v>
      </c>
      <c r="CE32" s="45">
        <f t="shared" si="30"/>
        <v>0</v>
      </c>
      <c r="CF32" s="45">
        <f t="shared" si="30"/>
        <v>0</v>
      </c>
      <c r="CG32" s="45">
        <f t="shared" si="31"/>
        <v>0</v>
      </c>
      <c r="CH32" s="45">
        <f t="shared" si="31"/>
        <v>0</v>
      </c>
      <c r="CI32" s="45">
        <f t="shared" si="31"/>
        <v>0</v>
      </c>
      <c r="CJ32" s="45">
        <f t="shared" si="31"/>
        <v>0</v>
      </c>
      <c r="CK32" s="45">
        <f t="shared" si="31"/>
        <v>0</v>
      </c>
      <c r="CL32" s="45">
        <f t="shared" si="31"/>
        <v>0</v>
      </c>
      <c r="CM32" s="45">
        <f t="shared" si="31"/>
        <v>0</v>
      </c>
      <c r="CN32" s="45">
        <f t="shared" si="31"/>
        <v>0</v>
      </c>
      <c r="CO32" s="45">
        <f t="shared" si="31"/>
        <v>0</v>
      </c>
      <c r="CP32" s="45">
        <f t="shared" si="31"/>
        <v>0</v>
      </c>
      <c r="CQ32" s="45">
        <f t="shared" si="32"/>
        <v>0</v>
      </c>
      <c r="CR32" s="45">
        <f t="shared" si="32"/>
        <v>0</v>
      </c>
      <c r="CS32" s="45">
        <f t="shared" si="32"/>
        <v>0</v>
      </c>
      <c r="CT32" s="45">
        <f t="shared" si="32"/>
        <v>0</v>
      </c>
      <c r="CU32" s="45">
        <f t="shared" si="32"/>
        <v>0</v>
      </c>
      <c r="CV32" s="45">
        <f t="shared" si="32"/>
        <v>0</v>
      </c>
      <c r="CW32" s="45">
        <f t="shared" si="32"/>
        <v>0</v>
      </c>
      <c r="CX32" s="45">
        <f t="shared" si="32"/>
        <v>12.5</v>
      </c>
      <c r="CY32" s="45">
        <f t="shared" si="32"/>
        <v>12.5</v>
      </c>
      <c r="CZ32" s="45">
        <f t="shared" si="32"/>
        <v>12.5</v>
      </c>
      <c r="DA32" s="45">
        <f t="shared" si="32"/>
        <v>12.5</v>
      </c>
      <c r="DB32" s="45">
        <f t="shared" si="32"/>
        <v>12.5</v>
      </c>
      <c r="DC32" s="45">
        <f t="shared" si="32"/>
        <v>12.5</v>
      </c>
      <c r="DD32" s="45">
        <f t="shared" si="32"/>
        <v>12.5</v>
      </c>
      <c r="DF32" s="83">
        <f t="shared" si="12"/>
        <v>0</v>
      </c>
      <c r="DG32" s="83">
        <f t="shared" si="34"/>
        <v>0</v>
      </c>
      <c r="DH32" s="83">
        <f t="shared" si="34"/>
        <v>0</v>
      </c>
      <c r="DI32" s="83">
        <f t="shared" si="34"/>
        <v>0</v>
      </c>
      <c r="DJ32" s="83">
        <f t="shared" si="34"/>
        <v>0</v>
      </c>
      <c r="DK32" s="83">
        <f t="shared" si="34"/>
        <v>0</v>
      </c>
      <c r="DL32" s="83">
        <f t="shared" si="34"/>
        <v>0</v>
      </c>
      <c r="DM32" s="83">
        <f t="shared" si="34"/>
        <v>0</v>
      </c>
      <c r="DN32" s="83">
        <f t="shared" si="34"/>
        <v>0</v>
      </c>
      <c r="DO32" s="83">
        <f t="shared" si="34"/>
        <v>0</v>
      </c>
      <c r="DP32" s="83">
        <f t="shared" si="34"/>
        <v>0</v>
      </c>
      <c r="DQ32" s="83">
        <f t="shared" si="34"/>
        <v>0</v>
      </c>
      <c r="DR32" s="83">
        <f t="shared" si="34"/>
        <v>0</v>
      </c>
      <c r="DS32" s="83">
        <f t="shared" si="34"/>
        <v>0</v>
      </c>
      <c r="DT32" s="83">
        <f t="shared" si="34"/>
        <v>0</v>
      </c>
      <c r="DU32" s="83">
        <f t="shared" si="34"/>
        <v>0</v>
      </c>
      <c r="DV32" s="83">
        <f t="shared" si="34"/>
        <v>0</v>
      </c>
      <c r="DW32" s="83">
        <f t="shared" si="34"/>
        <v>0</v>
      </c>
      <c r="DX32" s="83">
        <f t="shared" si="34"/>
        <v>0</v>
      </c>
      <c r="DY32" s="83">
        <f t="shared" si="34"/>
        <v>0</v>
      </c>
      <c r="DZ32" s="83">
        <f t="shared" si="34"/>
        <v>0</v>
      </c>
      <c r="EA32" s="83">
        <f t="shared" si="34"/>
        <v>0</v>
      </c>
      <c r="EB32" s="83">
        <f t="shared" si="34"/>
        <v>0</v>
      </c>
      <c r="EC32" s="83">
        <f t="shared" si="34"/>
        <v>0</v>
      </c>
      <c r="ED32" s="83">
        <f t="shared" si="34"/>
        <v>0</v>
      </c>
      <c r="EE32" s="83">
        <f t="shared" si="34"/>
        <v>0</v>
      </c>
      <c r="EF32" s="83">
        <f t="shared" si="34"/>
        <v>0</v>
      </c>
      <c r="EG32" s="83">
        <f t="shared" si="34"/>
        <v>0</v>
      </c>
      <c r="EH32" s="83">
        <f t="shared" si="34"/>
        <v>0</v>
      </c>
      <c r="EI32" s="83">
        <f t="shared" si="34"/>
        <v>0</v>
      </c>
      <c r="EJ32" s="83">
        <f t="shared" si="34"/>
        <v>0</v>
      </c>
      <c r="EK32" s="83">
        <f t="shared" si="34"/>
        <v>0</v>
      </c>
      <c r="EL32" s="83">
        <f t="shared" si="34"/>
        <v>0</v>
      </c>
      <c r="EM32" s="83">
        <f t="shared" si="34"/>
        <v>0</v>
      </c>
      <c r="EN32" s="83">
        <f t="shared" si="34"/>
        <v>0</v>
      </c>
      <c r="EO32" s="83">
        <f t="shared" si="34"/>
        <v>0</v>
      </c>
      <c r="EP32" s="83">
        <f t="shared" si="34"/>
        <v>0</v>
      </c>
      <c r="EQ32" s="83">
        <f t="shared" si="34"/>
        <v>500</v>
      </c>
      <c r="ER32" s="83">
        <f t="shared" si="34"/>
        <v>0</v>
      </c>
      <c r="ES32" s="83">
        <f t="shared" si="34"/>
        <v>0</v>
      </c>
      <c r="ET32" s="83">
        <f t="shared" si="34"/>
        <v>0</v>
      </c>
      <c r="EU32" s="83">
        <f t="shared" si="34"/>
        <v>0</v>
      </c>
      <c r="EV32" s="83">
        <f t="shared" si="34"/>
        <v>0</v>
      </c>
      <c r="EW32" s="83">
        <f t="shared" si="34"/>
        <v>0</v>
      </c>
    </row>
    <row r="33" spans="1:153" s="258" customFormat="1" ht="12.75" outlineLevel="1">
      <c r="A33" s="249"/>
      <c r="B33" s="267" t="s">
        <v>148</v>
      </c>
      <c r="C33" s="250"/>
      <c r="D33" s="251"/>
      <c r="E33" s="264"/>
      <c r="F33" s="270"/>
      <c r="G33" s="246"/>
      <c r="H33" s="252"/>
      <c r="I33" s="252"/>
      <c r="J33" s="252"/>
      <c r="K33" s="253"/>
      <c r="L33" s="254"/>
      <c r="M33" s="254"/>
      <c r="N33" s="254"/>
      <c r="O33" s="255"/>
      <c r="P33" s="256"/>
      <c r="Q33" s="228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M33" s="257">
        <f t="shared" si="29"/>
        <v>0</v>
      </c>
      <c r="BN33" s="257">
        <f t="shared" si="29"/>
        <v>0</v>
      </c>
      <c r="BO33" s="257">
        <f t="shared" si="29"/>
        <v>0</v>
      </c>
      <c r="BP33" s="257">
        <f t="shared" si="29"/>
        <v>0</v>
      </c>
      <c r="BQ33" s="257">
        <f t="shared" si="29"/>
        <v>0</v>
      </c>
      <c r="BR33" s="257">
        <f t="shared" si="29"/>
        <v>0</v>
      </c>
      <c r="BS33" s="257">
        <f t="shared" si="29"/>
        <v>0</v>
      </c>
      <c r="BT33" s="257">
        <f t="shared" si="29"/>
        <v>0</v>
      </c>
      <c r="BU33" s="257">
        <f t="shared" si="29"/>
        <v>0</v>
      </c>
      <c r="BV33" s="257">
        <f t="shared" si="29"/>
        <v>0</v>
      </c>
      <c r="BW33" s="257">
        <f t="shared" si="30"/>
        <v>0</v>
      </c>
      <c r="BX33" s="257">
        <f t="shared" si="30"/>
        <v>0</v>
      </c>
      <c r="BY33" s="257">
        <f t="shared" si="30"/>
        <v>0</v>
      </c>
      <c r="BZ33" s="257">
        <f t="shared" si="30"/>
        <v>0</v>
      </c>
      <c r="CA33" s="257">
        <f t="shared" si="30"/>
        <v>0</v>
      </c>
      <c r="CB33" s="257">
        <f t="shared" si="30"/>
        <v>0</v>
      </c>
      <c r="CC33" s="257">
        <f t="shared" si="30"/>
        <v>0</v>
      </c>
      <c r="CD33" s="257">
        <f t="shared" si="30"/>
        <v>0</v>
      </c>
      <c r="CE33" s="257">
        <f t="shared" si="30"/>
        <v>0</v>
      </c>
      <c r="CF33" s="257">
        <f t="shared" si="30"/>
        <v>0</v>
      </c>
      <c r="CG33" s="257">
        <f t="shared" si="31"/>
        <v>0</v>
      </c>
      <c r="CH33" s="257">
        <f t="shared" si="31"/>
        <v>0</v>
      </c>
      <c r="CI33" s="257">
        <f t="shared" si="31"/>
        <v>0</v>
      </c>
      <c r="CJ33" s="257">
        <f t="shared" si="31"/>
        <v>0</v>
      </c>
      <c r="CK33" s="257">
        <f t="shared" si="31"/>
        <v>0</v>
      </c>
      <c r="CL33" s="257">
        <f t="shared" si="31"/>
        <v>0</v>
      </c>
      <c r="CM33" s="257">
        <f t="shared" si="31"/>
        <v>0</v>
      </c>
      <c r="CN33" s="257">
        <f t="shared" si="31"/>
        <v>0</v>
      </c>
      <c r="CO33" s="257">
        <f t="shared" si="31"/>
        <v>0</v>
      </c>
      <c r="CP33" s="257">
        <f t="shared" si="31"/>
        <v>0</v>
      </c>
      <c r="CQ33" s="257">
        <f t="shared" si="32"/>
        <v>0</v>
      </c>
      <c r="CR33" s="257">
        <f t="shared" si="32"/>
        <v>0</v>
      </c>
      <c r="CS33" s="257">
        <f t="shared" si="32"/>
        <v>0</v>
      </c>
      <c r="CT33" s="257">
        <f t="shared" si="32"/>
        <v>0</v>
      </c>
      <c r="CU33" s="257">
        <f t="shared" si="32"/>
        <v>0</v>
      </c>
      <c r="CV33" s="257">
        <f t="shared" si="32"/>
        <v>0</v>
      </c>
      <c r="CW33" s="257">
        <f t="shared" si="32"/>
        <v>0</v>
      </c>
      <c r="CX33" s="257">
        <f t="shared" si="32"/>
        <v>0</v>
      </c>
      <c r="CY33" s="257">
        <f t="shared" si="32"/>
        <v>0</v>
      </c>
      <c r="CZ33" s="257">
        <f t="shared" si="32"/>
        <v>0</v>
      </c>
      <c r="DA33" s="257">
        <f t="shared" si="32"/>
        <v>0</v>
      </c>
      <c r="DB33" s="257">
        <f t="shared" si="32"/>
        <v>0</v>
      </c>
      <c r="DC33" s="257">
        <f t="shared" si="32"/>
        <v>0</v>
      </c>
      <c r="DD33" s="257">
        <f t="shared" si="32"/>
        <v>0</v>
      </c>
      <c r="DF33" s="259">
        <f t="shared" si="12"/>
        <v>0</v>
      </c>
      <c r="DG33" s="259">
        <f t="shared" si="34"/>
        <v>0</v>
      </c>
      <c r="DH33" s="259">
        <f t="shared" si="34"/>
        <v>0</v>
      </c>
      <c r="DI33" s="259">
        <f t="shared" si="34"/>
        <v>0</v>
      </c>
      <c r="DJ33" s="259">
        <f t="shared" si="34"/>
        <v>0</v>
      </c>
      <c r="DK33" s="259">
        <f t="shared" si="34"/>
        <v>0</v>
      </c>
      <c r="DL33" s="259">
        <f t="shared" si="34"/>
        <v>0</v>
      </c>
      <c r="DM33" s="259">
        <f t="shared" si="34"/>
        <v>0</v>
      </c>
      <c r="DN33" s="259">
        <f t="shared" si="34"/>
        <v>0</v>
      </c>
      <c r="DO33" s="259">
        <f t="shared" si="34"/>
        <v>0</v>
      </c>
      <c r="DP33" s="259">
        <f t="shared" si="34"/>
        <v>0</v>
      </c>
      <c r="DQ33" s="259">
        <f t="shared" si="34"/>
        <v>0</v>
      </c>
      <c r="DR33" s="259">
        <f t="shared" si="34"/>
        <v>0</v>
      </c>
      <c r="DS33" s="259">
        <f t="shared" si="34"/>
        <v>0</v>
      </c>
      <c r="DT33" s="259">
        <f t="shared" si="34"/>
        <v>0</v>
      </c>
      <c r="DU33" s="259">
        <f t="shared" si="34"/>
        <v>0</v>
      </c>
      <c r="DV33" s="259">
        <f t="shared" si="34"/>
        <v>0</v>
      </c>
      <c r="DW33" s="259">
        <f t="shared" si="34"/>
        <v>0</v>
      </c>
      <c r="DX33" s="259">
        <f t="shared" si="34"/>
        <v>0</v>
      </c>
      <c r="DY33" s="259">
        <f t="shared" si="34"/>
        <v>0</v>
      </c>
      <c r="DZ33" s="259">
        <f t="shared" si="34"/>
        <v>0</v>
      </c>
      <c r="EA33" s="259">
        <f t="shared" si="34"/>
        <v>0</v>
      </c>
      <c r="EB33" s="259">
        <f t="shared" si="34"/>
        <v>0</v>
      </c>
      <c r="EC33" s="259">
        <f t="shared" si="34"/>
        <v>0</v>
      </c>
      <c r="ED33" s="259">
        <f t="shared" si="34"/>
        <v>0</v>
      </c>
      <c r="EE33" s="259">
        <f t="shared" si="34"/>
        <v>0</v>
      </c>
      <c r="EF33" s="259">
        <f t="shared" si="34"/>
        <v>0</v>
      </c>
      <c r="EG33" s="259">
        <f t="shared" si="34"/>
        <v>0</v>
      </c>
      <c r="EH33" s="259">
        <f t="shared" si="34"/>
        <v>0</v>
      </c>
      <c r="EI33" s="259">
        <f t="shared" si="34"/>
        <v>0</v>
      </c>
      <c r="EJ33" s="259">
        <f t="shared" si="34"/>
        <v>0</v>
      </c>
      <c r="EK33" s="259">
        <f t="shared" si="34"/>
        <v>0</v>
      </c>
      <c r="EL33" s="259">
        <f t="shared" si="34"/>
        <v>0</v>
      </c>
      <c r="EM33" s="259">
        <f t="shared" si="34"/>
        <v>0</v>
      </c>
      <c r="EN33" s="259">
        <f t="shared" si="34"/>
        <v>0</v>
      </c>
      <c r="EO33" s="259">
        <f t="shared" si="34"/>
        <v>0</v>
      </c>
      <c r="EP33" s="259">
        <f t="shared" si="34"/>
        <v>0</v>
      </c>
      <c r="EQ33" s="259">
        <f t="shared" si="34"/>
        <v>0</v>
      </c>
      <c r="ER33" s="259">
        <f t="shared" si="34"/>
        <v>0</v>
      </c>
      <c r="ES33" s="259">
        <f t="shared" si="34"/>
        <v>0</v>
      </c>
      <c r="ET33" s="259">
        <f t="shared" si="34"/>
        <v>0</v>
      </c>
      <c r="EU33" s="259">
        <f t="shared" si="34"/>
        <v>0</v>
      </c>
      <c r="EV33" s="259">
        <f t="shared" si="34"/>
        <v>0</v>
      </c>
      <c r="EW33" s="259">
        <f t="shared" si="34"/>
        <v>0</v>
      </c>
    </row>
    <row r="34" spans="1:153" ht="12.75" outlineLevel="1">
      <c r="A34" s="207">
        <v>23</v>
      </c>
      <c r="B34" s="218" t="s">
        <v>149</v>
      </c>
      <c r="C34" s="208"/>
      <c r="D34" s="192"/>
      <c r="E34" s="262"/>
      <c r="F34" s="268">
        <v>70</v>
      </c>
      <c r="G34" s="248">
        <f>C34*(F34-M34)</f>
        <v>0</v>
      </c>
      <c r="H34" s="50"/>
      <c r="I34" s="244"/>
      <c r="J34" s="48"/>
      <c r="K34" s="205"/>
      <c r="L34" s="193">
        <f>C34/F34</f>
        <v>0</v>
      </c>
      <c r="M34" s="194">
        <f>IF((E34+F34)&lt;$F$3,0.01,E34+F34-$F$3-1)</f>
        <v>0.01</v>
      </c>
      <c r="N34" s="193">
        <f>C34/F34*M34</f>
        <v>0</v>
      </c>
      <c r="O34" s="217"/>
      <c r="P34" s="224"/>
      <c r="Q34" s="228">
        <f t="shared" si="18"/>
        <v>0</v>
      </c>
      <c r="R34" s="45">
        <f aca="true" t="shared" si="35" ref="R34:BI34">IF(R$8&gt;$F$3+$M34,0,$L34)</f>
        <v>0</v>
      </c>
      <c r="S34" s="45">
        <f t="shared" si="35"/>
        <v>0</v>
      </c>
      <c r="T34" s="45">
        <f t="shared" si="35"/>
        <v>0</v>
      </c>
      <c r="U34" s="45">
        <f t="shared" si="35"/>
        <v>0</v>
      </c>
      <c r="V34" s="45">
        <f t="shared" si="35"/>
        <v>0</v>
      </c>
      <c r="W34" s="45">
        <f t="shared" si="35"/>
        <v>0</v>
      </c>
      <c r="X34" s="45">
        <f t="shared" si="35"/>
        <v>0</v>
      </c>
      <c r="Y34" s="45">
        <f t="shared" si="35"/>
        <v>0</v>
      </c>
      <c r="Z34" s="45">
        <f t="shared" si="35"/>
        <v>0</v>
      </c>
      <c r="AA34" s="45">
        <f t="shared" si="35"/>
        <v>0</v>
      </c>
      <c r="AB34" s="45">
        <f t="shared" si="35"/>
        <v>0</v>
      </c>
      <c r="AC34" s="45">
        <f t="shared" si="35"/>
        <v>0</v>
      </c>
      <c r="AD34" s="45">
        <f t="shared" si="35"/>
        <v>0</v>
      </c>
      <c r="AE34" s="45">
        <f t="shared" si="35"/>
        <v>0</v>
      </c>
      <c r="AF34" s="45">
        <f t="shared" si="35"/>
        <v>0</v>
      </c>
      <c r="AG34" s="45">
        <f t="shared" si="35"/>
        <v>0</v>
      </c>
      <c r="AH34" s="45">
        <f t="shared" si="35"/>
        <v>0</v>
      </c>
      <c r="AI34" s="45">
        <f t="shared" si="35"/>
        <v>0</v>
      </c>
      <c r="AJ34" s="45">
        <f t="shared" si="35"/>
        <v>0</v>
      </c>
      <c r="AK34" s="45">
        <f t="shared" si="35"/>
        <v>0</v>
      </c>
      <c r="AL34" s="45">
        <f t="shared" si="35"/>
        <v>0</v>
      </c>
      <c r="AM34" s="45">
        <f t="shared" si="35"/>
        <v>0</v>
      </c>
      <c r="AN34" s="45">
        <f t="shared" si="35"/>
        <v>0</v>
      </c>
      <c r="AO34" s="45">
        <f t="shared" si="35"/>
        <v>0</v>
      </c>
      <c r="AP34" s="45">
        <f t="shared" si="35"/>
        <v>0</v>
      </c>
      <c r="AQ34" s="45">
        <f t="shared" si="35"/>
        <v>0</v>
      </c>
      <c r="AR34" s="45">
        <f t="shared" si="35"/>
        <v>0</v>
      </c>
      <c r="AS34" s="45">
        <f t="shared" si="35"/>
        <v>0</v>
      </c>
      <c r="AT34" s="45">
        <f t="shared" si="35"/>
        <v>0</v>
      </c>
      <c r="AU34" s="45">
        <f t="shared" si="35"/>
        <v>0</v>
      </c>
      <c r="AV34" s="45">
        <f t="shared" si="35"/>
        <v>0</v>
      </c>
      <c r="AW34" s="45">
        <f t="shared" si="35"/>
        <v>0</v>
      </c>
      <c r="AX34" s="45">
        <f t="shared" si="35"/>
        <v>0</v>
      </c>
      <c r="AY34" s="45">
        <f t="shared" si="35"/>
        <v>0</v>
      </c>
      <c r="AZ34" s="45">
        <f t="shared" si="35"/>
        <v>0</v>
      </c>
      <c r="BA34" s="45">
        <f t="shared" si="35"/>
        <v>0</v>
      </c>
      <c r="BB34" s="45">
        <f t="shared" si="35"/>
        <v>0</v>
      </c>
      <c r="BC34" s="45">
        <f t="shared" si="35"/>
        <v>0</v>
      </c>
      <c r="BD34" s="45">
        <f t="shared" si="35"/>
        <v>0</v>
      </c>
      <c r="BE34" s="45">
        <f t="shared" si="35"/>
        <v>0</v>
      </c>
      <c r="BF34" s="45">
        <f t="shared" si="35"/>
        <v>0</v>
      </c>
      <c r="BG34" s="45">
        <f t="shared" si="35"/>
        <v>0</v>
      </c>
      <c r="BH34" s="45">
        <f t="shared" si="35"/>
        <v>0</v>
      </c>
      <c r="BI34" s="45">
        <f t="shared" si="35"/>
        <v>0</v>
      </c>
      <c r="BJ34" s="45"/>
      <c r="BK34" s="45"/>
      <c r="BM34" s="45">
        <f t="shared" si="29"/>
        <v>0</v>
      </c>
      <c r="BN34" s="45">
        <f t="shared" si="29"/>
        <v>0</v>
      </c>
      <c r="BO34" s="45">
        <f t="shared" si="29"/>
        <v>0</v>
      </c>
      <c r="BP34" s="45">
        <f t="shared" si="29"/>
        <v>0</v>
      </c>
      <c r="BQ34" s="45">
        <f t="shared" si="29"/>
        <v>0</v>
      </c>
      <c r="BR34" s="45">
        <f t="shared" si="29"/>
        <v>0</v>
      </c>
      <c r="BS34" s="45">
        <f t="shared" si="29"/>
        <v>0</v>
      </c>
      <c r="BT34" s="45">
        <f t="shared" si="29"/>
        <v>0</v>
      </c>
      <c r="BU34" s="45">
        <f t="shared" si="29"/>
        <v>0</v>
      </c>
      <c r="BV34" s="45">
        <f t="shared" si="29"/>
        <v>0</v>
      </c>
      <c r="BW34" s="45">
        <f t="shared" si="30"/>
        <v>0</v>
      </c>
      <c r="BX34" s="45">
        <f t="shared" si="30"/>
        <v>0</v>
      </c>
      <c r="BY34" s="45">
        <f t="shared" si="30"/>
        <v>0</v>
      </c>
      <c r="BZ34" s="45">
        <f t="shared" si="30"/>
        <v>0</v>
      </c>
      <c r="CA34" s="45">
        <f t="shared" si="30"/>
        <v>0</v>
      </c>
      <c r="CB34" s="45">
        <f t="shared" si="30"/>
        <v>0</v>
      </c>
      <c r="CC34" s="45">
        <f t="shared" si="30"/>
        <v>0</v>
      </c>
      <c r="CD34" s="45">
        <f t="shared" si="30"/>
        <v>0</v>
      </c>
      <c r="CE34" s="45">
        <f t="shared" si="30"/>
        <v>0</v>
      </c>
      <c r="CF34" s="45">
        <f t="shared" si="30"/>
        <v>0</v>
      </c>
      <c r="CG34" s="45">
        <f t="shared" si="31"/>
        <v>0</v>
      </c>
      <c r="CH34" s="45">
        <f t="shared" si="31"/>
        <v>0</v>
      </c>
      <c r="CI34" s="45">
        <f t="shared" si="31"/>
        <v>0</v>
      </c>
      <c r="CJ34" s="45">
        <f t="shared" si="31"/>
        <v>0</v>
      </c>
      <c r="CK34" s="45">
        <f t="shared" si="31"/>
        <v>0</v>
      </c>
      <c r="CL34" s="45">
        <f t="shared" si="31"/>
        <v>0</v>
      </c>
      <c r="CM34" s="45">
        <f t="shared" si="31"/>
        <v>0</v>
      </c>
      <c r="CN34" s="45">
        <f t="shared" si="31"/>
        <v>0</v>
      </c>
      <c r="CO34" s="45">
        <f t="shared" si="31"/>
        <v>0</v>
      </c>
      <c r="CP34" s="45">
        <f t="shared" si="31"/>
        <v>0</v>
      </c>
      <c r="CQ34" s="45">
        <f t="shared" si="32"/>
        <v>0</v>
      </c>
      <c r="CR34" s="45">
        <f t="shared" si="32"/>
        <v>0</v>
      </c>
      <c r="CS34" s="45">
        <f t="shared" si="32"/>
        <v>0</v>
      </c>
      <c r="CT34" s="45">
        <f t="shared" si="32"/>
        <v>0</v>
      </c>
      <c r="CU34" s="45">
        <f t="shared" si="32"/>
        <v>0</v>
      </c>
      <c r="CV34" s="45">
        <f t="shared" si="32"/>
        <v>0</v>
      </c>
      <c r="CW34" s="45">
        <f t="shared" si="32"/>
        <v>0</v>
      </c>
      <c r="CX34" s="45">
        <f t="shared" si="32"/>
        <v>0</v>
      </c>
      <c r="CY34" s="45">
        <f t="shared" si="32"/>
        <v>0</v>
      </c>
      <c r="CZ34" s="45">
        <f t="shared" si="32"/>
        <v>0</v>
      </c>
      <c r="DA34" s="45">
        <f t="shared" si="32"/>
        <v>0</v>
      </c>
      <c r="DB34" s="45">
        <f t="shared" si="32"/>
        <v>0</v>
      </c>
      <c r="DC34" s="45">
        <f t="shared" si="32"/>
        <v>0</v>
      </c>
      <c r="DD34" s="45">
        <f t="shared" si="32"/>
        <v>0</v>
      </c>
      <c r="DF34" s="83">
        <f t="shared" si="12"/>
        <v>0</v>
      </c>
      <c r="DG34" s="83">
        <f t="shared" si="34"/>
        <v>0</v>
      </c>
      <c r="DH34" s="83">
        <f t="shared" si="34"/>
        <v>0</v>
      </c>
      <c r="DI34" s="83">
        <f t="shared" si="34"/>
        <v>0</v>
      </c>
      <c r="DJ34" s="83">
        <f t="shared" si="34"/>
        <v>0</v>
      </c>
      <c r="DK34" s="83">
        <f t="shared" si="34"/>
        <v>0</v>
      </c>
      <c r="DL34" s="83">
        <f t="shared" si="34"/>
        <v>0</v>
      </c>
      <c r="DM34" s="83">
        <f t="shared" si="34"/>
        <v>0</v>
      </c>
      <c r="DN34" s="83">
        <f t="shared" si="34"/>
        <v>0</v>
      </c>
      <c r="DO34" s="83">
        <f t="shared" si="34"/>
        <v>0</v>
      </c>
      <c r="DP34" s="83">
        <f t="shared" si="34"/>
        <v>0</v>
      </c>
      <c r="DQ34" s="83">
        <f t="shared" si="34"/>
        <v>0</v>
      </c>
      <c r="DR34" s="83">
        <f t="shared" si="34"/>
        <v>0</v>
      </c>
      <c r="DS34" s="83">
        <f t="shared" si="34"/>
        <v>0</v>
      </c>
      <c r="DT34" s="83">
        <f t="shared" si="34"/>
        <v>0</v>
      </c>
      <c r="DU34" s="83">
        <f t="shared" si="34"/>
        <v>0</v>
      </c>
      <c r="DV34" s="83">
        <f t="shared" si="34"/>
        <v>0</v>
      </c>
      <c r="DW34" s="83">
        <f t="shared" si="34"/>
        <v>0</v>
      </c>
      <c r="DX34" s="83">
        <f t="shared" si="34"/>
        <v>0</v>
      </c>
      <c r="DY34" s="83">
        <f t="shared" si="34"/>
        <v>0</v>
      </c>
      <c r="DZ34" s="83">
        <f t="shared" si="34"/>
        <v>0</v>
      </c>
      <c r="EA34" s="83">
        <f t="shared" si="34"/>
        <v>0</v>
      </c>
      <c r="EB34" s="83">
        <f t="shared" si="34"/>
        <v>0</v>
      </c>
      <c r="EC34" s="83">
        <f t="shared" si="34"/>
        <v>0</v>
      </c>
      <c r="ED34" s="83">
        <f t="shared" si="34"/>
        <v>0</v>
      </c>
      <c r="EE34" s="83">
        <f t="shared" si="34"/>
        <v>0</v>
      </c>
      <c r="EF34" s="83">
        <f t="shared" si="34"/>
        <v>0</v>
      </c>
      <c r="EG34" s="83">
        <f t="shared" si="34"/>
        <v>0</v>
      </c>
      <c r="EH34" s="83">
        <f t="shared" si="34"/>
        <v>0</v>
      </c>
      <c r="EI34" s="83">
        <f t="shared" si="34"/>
        <v>0</v>
      </c>
      <c r="EJ34" s="83">
        <f t="shared" si="34"/>
        <v>0</v>
      </c>
      <c r="EK34" s="83">
        <f t="shared" si="34"/>
        <v>0</v>
      </c>
      <c r="EL34" s="83">
        <f t="shared" si="34"/>
        <v>0</v>
      </c>
      <c r="EM34" s="83">
        <f t="shared" si="34"/>
        <v>0</v>
      </c>
      <c r="EN34" s="83">
        <f t="shared" si="34"/>
        <v>0</v>
      </c>
      <c r="EO34" s="83">
        <f t="shared" si="34"/>
        <v>0</v>
      </c>
      <c r="EP34" s="83">
        <f t="shared" si="34"/>
        <v>0</v>
      </c>
      <c r="EQ34" s="83">
        <f t="shared" si="34"/>
        <v>0</v>
      </c>
      <c r="ER34" s="83">
        <f aca="true" t="shared" si="36" ref="ER34:EW38">IF($P34=ER$8,$O34,0)</f>
        <v>0</v>
      </c>
      <c r="ES34" s="83">
        <f t="shared" si="36"/>
        <v>0</v>
      </c>
      <c r="ET34" s="83">
        <f t="shared" si="36"/>
        <v>0</v>
      </c>
      <c r="EU34" s="83">
        <f t="shared" si="36"/>
        <v>0</v>
      </c>
      <c r="EV34" s="83">
        <f t="shared" si="36"/>
        <v>0</v>
      </c>
      <c r="EW34" s="83">
        <f t="shared" si="36"/>
        <v>0</v>
      </c>
    </row>
    <row r="35" spans="1:153" ht="12.75" outlineLevel="1">
      <c r="A35" s="207"/>
      <c r="B35" s="218"/>
      <c r="C35" s="208"/>
      <c r="D35" s="192"/>
      <c r="E35" s="262"/>
      <c r="F35" s="268">
        <v>0.01</v>
      </c>
      <c r="G35" s="248">
        <f>C35*(F35-M35)</f>
        <v>0</v>
      </c>
      <c r="H35" s="50"/>
      <c r="I35" s="244"/>
      <c r="J35" s="48"/>
      <c r="K35" s="205"/>
      <c r="L35" s="193">
        <f>C35/F35</f>
        <v>0</v>
      </c>
      <c r="M35" s="194">
        <f>IF((E35+F35)&lt;$F$3,0.01,E35+F35-$F$3-1)</f>
        <v>0.01</v>
      </c>
      <c r="N35" s="193">
        <f>C35/F35*M35</f>
        <v>0</v>
      </c>
      <c r="O35" s="217"/>
      <c r="P35" s="224"/>
      <c r="Q35" s="228">
        <f t="shared" si="18"/>
        <v>0</v>
      </c>
      <c r="R35" s="45">
        <f aca="true" t="shared" si="37" ref="R35:AG37">IF(R$8&gt;$F$3+$M35,0,$L35)</f>
        <v>0</v>
      </c>
      <c r="S35" s="45">
        <f t="shared" si="37"/>
        <v>0</v>
      </c>
      <c r="T35" s="45">
        <f t="shared" si="37"/>
        <v>0</v>
      </c>
      <c r="U35" s="45">
        <f t="shared" si="37"/>
        <v>0</v>
      </c>
      <c r="V35" s="45">
        <f t="shared" si="37"/>
        <v>0</v>
      </c>
      <c r="W35" s="45">
        <f t="shared" si="37"/>
        <v>0</v>
      </c>
      <c r="X35" s="45">
        <f t="shared" si="37"/>
        <v>0</v>
      </c>
      <c r="Y35" s="45">
        <f t="shared" si="37"/>
        <v>0</v>
      </c>
      <c r="Z35" s="45">
        <f t="shared" si="37"/>
        <v>0</v>
      </c>
      <c r="AA35" s="45">
        <f t="shared" si="37"/>
        <v>0</v>
      </c>
      <c r="AB35" s="45">
        <f t="shared" si="37"/>
        <v>0</v>
      </c>
      <c r="AC35" s="45">
        <f t="shared" si="37"/>
        <v>0</v>
      </c>
      <c r="AD35" s="45">
        <f t="shared" si="37"/>
        <v>0</v>
      </c>
      <c r="AE35" s="45">
        <f t="shared" si="37"/>
        <v>0</v>
      </c>
      <c r="AF35" s="45">
        <f t="shared" si="37"/>
        <v>0</v>
      </c>
      <c r="AG35" s="45">
        <f t="shared" si="37"/>
        <v>0</v>
      </c>
      <c r="AH35" s="45">
        <f aca="true" t="shared" si="38" ref="AH35:AW37">IF(AH$8&gt;$F$3+$M35,0,$L35)</f>
        <v>0</v>
      </c>
      <c r="AI35" s="45">
        <f t="shared" si="38"/>
        <v>0</v>
      </c>
      <c r="AJ35" s="45">
        <f t="shared" si="38"/>
        <v>0</v>
      </c>
      <c r="AK35" s="45">
        <f t="shared" si="38"/>
        <v>0</v>
      </c>
      <c r="AL35" s="45">
        <f t="shared" si="38"/>
        <v>0</v>
      </c>
      <c r="AM35" s="45">
        <f t="shared" si="38"/>
        <v>0</v>
      </c>
      <c r="AN35" s="45">
        <f t="shared" si="38"/>
        <v>0</v>
      </c>
      <c r="AO35" s="45">
        <f t="shared" si="38"/>
        <v>0</v>
      </c>
      <c r="AP35" s="45">
        <f t="shared" si="38"/>
        <v>0</v>
      </c>
      <c r="AQ35" s="45">
        <f t="shared" si="38"/>
        <v>0</v>
      </c>
      <c r="AR35" s="45">
        <f t="shared" si="38"/>
        <v>0</v>
      </c>
      <c r="AS35" s="45">
        <f t="shared" si="38"/>
        <v>0</v>
      </c>
      <c r="AT35" s="45">
        <f t="shared" si="38"/>
        <v>0</v>
      </c>
      <c r="AU35" s="45">
        <f t="shared" si="38"/>
        <v>0</v>
      </c>
      <c r="AV35" s="45">
        <f t="shared" si="38"/>
        <v>0</v>
      </c>
      <c r="AW35" s="45">
        <f t="shared" si="38"/>
        <v>0</v>
      </c>
      <c r="AX35" s="45">
        <f aca="true" t="shared" si="39" ref="AX35:BI37">IF(AX$8&gt;$F$3+$M35,0,$L35)</f>
        <v>0</v>
      </c>
      <c r="AY35" s="45">
        <f t="shared" si="39"/>
        <v>0</v>
      </c>
      <c r="AZ35" s="45">
        <f t="shared" si="39"/>
        <v>0</v>
      </c>
      <c r="BA35" s="45">
        <f t="shared" si="39"/>
        <v>0</v>
      </c>
      <c r="BB35" s="45">
        <f t="shared" si="39"/>
        <v>0</v>
      </c>
      <c r="BC35" s="45">
        <f t="shared" si="39"/>
        <v>0</v>
      </c>
      <c r="BD35" s="45">
        <f t="shared" si="39"/>
        <v>0</v>
      </c>
      <c r="BE35" s="45">
        <f t="shared" si="39"/>
        <v>0</v>
      </c>
      <c r="BF35" s="45">
        <f t="shared" si="39"/>
        <v>0</v>
      </c>
      <c r="BG35" s="45">
        <f t="shared" si="39"/>
        <v>0</v>
      </c>
      <c r="BH35" s="45">
        <f t="shared" si="39"/>
        <v>0</v>
      </c>
      <c r="BI35" s="45">
        <f t="shared" si="39"/>
        <v>0</v>
      </c>
      <c r="BJ35" s="45"/>
      <c r="BK35" s="45"/>
      <c r="BM35" s="45">
        <f t="shared" si="29"/>
        <v>0</v>
      </c>
      <c r="BN35" s="45">
        <f t="shared" si="29"/>
        <v>0</v>
      </c>
      <c r="BO35" s="45">
        <f t="shared" si="29"/>
        <v>0</v>
      </c>
      <c r="BP35" s="45">
        <f t="shared" si="29"/>
        <v>0</v>
      </c>
      <c r="BQ35" s="45">
        <f t="shared" si="29"/>
        <v>0</v>
      </c>
      <c r="BR35" s="45">
        <f t="shared" si="29"/>
        <v>0</v>
      </c>
      <c r="BS35" s="45">
        <f t="shared" si="29"/>
        <v>0</v>
      </c>
      <c r="BT35" s="45">
        <f t="shared" si="29"/>
        <v>0</v>
      </c>
      <c r="BU35" s="45">
        <f t="shared" si="29"/>
        <v>0</v>
      </c>
      <c r="BV35" s="45">
        <f t="shared" si="29"/>
        <v>0</v>
      </c>
      <c r="BW35" s="45">
        <f t="shared" si="30"/>
        <v>0</v>
      </c>
      <c r="BX35" s="45">
        <f t="shared" si="30"/>
        <v>0</v>
      </c>
      <c r="BY35" s="45">
        <f t="shared" si="30"/>
        <v>0</v>
      </c>
      <c r="BZ35" s="45">
        <f t="shared" si="30"/>
        <v>0</v>
      </c>
      <c r="CA35" s="45">
        <f t="shared" si="30"/>
        <v>0</v>
      </c>
      <c r="CB35" s="45">
        <f t="shared" si="30"/>
        <v>0</v>
      </c>
      <c r="CC35" s="45">
        <f t="shared" si="30"/>
        <v>0</v>
      </c>
      <c r="CD35" s="45">
        <f t="shared" si="30"/>
        <v>0</v>
      </c>
      <c r="CE35" s="45">
        <f t="shared" si="30"/>
        <v>0</v>
      </c>
      <c r="CF35" s="45">
        <f t="shared" si="30"/>
        <v>0</v>
      </c>
      <c r="CG35" s="45">
        <f t="shared" si="31"/>
        <v>0</v>
      </c>
      <c r="CH35" s="45">
        <f t="shared" si="31"/>
        <v>0</v>
      </c>
      <c r="CI35" s="45">
        <f t="shared" si="31"/>
        <v>0</v>
      </c>
      <c r="CJ35" s="45">
        <f t="shared" si="31"/>
        <v>0</v>
      </c>
      <c r="CK35" s="45">
        <f t="shared" si="31"/>
        <v>0</v>
      </c>
      <c r="CL35" s="45">
        <f t="shared" si="31"/>
        <v>0</v>
      </c>
      <c r="CM35" s="45">
        <f t="shared" si="31"/>
        <v>0</v>
      </c>
      <c r="CN35" s="45">
        <f t="shared" si="31"/>
        <v>0</v>
      </c>
      <c r="CO35" s="45">
        <f t="shared" si="31"/>
        <v>0</v>
      </c>
      <c r="CP35" s="45">
        <f t="shared" si="31"/>
        <v>0</v>
      </c>
      <c r="CQ35" s="45">
        <f t="shared" si="32"/>
        <v>0</v>
      </c>
      <c r="CR35" s="45">
        <f t="shared" si="32"/>
        <v>0</v>
      </c>
      <c r="CS35" s="45">
        <f t="shared" si="32"/>
        <v>0</v>
      </c>
      <c r="CT35" s="45">
        <f t="shared" si="32"/>
        <v>0</v>
      </c>
      <c r="CU35" s="45">
        <f t="shared" si="32"/>
        <v>0</v>
      </c>
      <c r="CV35" s="45">
        <f t="shared" si="32"/>
        <v>0</v>
      </c>
      <c r="CW35" s="45">
        <f t="shared" si="32"/>
        <v>0</v>
      </c>
      <c r="CX35" s="45">
        <f t="shared" si="32"/>
        <v>0</v>
      </c>
      <c r="CY35" s="45">
        <f t="shared" si="32"/>
        <v>0</v>
      </c>
      <c r="CZ35" s="45">
        <f t="shared" si="32"/>
        <v>0</v>
      </c>
      <c r="DA35" s="45">
        <f t="shared" si="32"/>
        <v>0</v>
      </c>
      <c r="DB35" s="45">
        <f t="shared" si="32"/>
        <v>0</v>
      </c>
      <c r="DC35" s="45">
        <f t="shared" si="32"/>
        <v>0</v>
      </c>
      <c r="DD35" s="45">
        <f t="shared" si="32"/>
        <v>0</v>
      </c>
      <c r="DF35" s="83">
        <f t="shared" si="12"/>
        <v>0</v>
      </c>
      <c r="DG35" s="83">
        <f aca="true" t="shared" si="40" ref="DG35:DU38">IF($P35=DG$8,$O35,0)</f>
        <v>0</v>
      </c>
      <c r="DH35" s="83">
        <f t="shared" si="40"/>
        <v>0</v>
      </c>
      <c r="DI35" s="83">
        <f t="shared" si="40"/>
        <v>0</v>
      </c>
      <c r="DJ35" s="83">
        <f t="shared" si="40"/>
        <v>0</v>
      </c>
      <c r="DK35" s="83">
        <f t="shared" si="40"/>
        <v>0</v>
      </c>
      <c r="DL35" s="83">
        <f t="shared" si="40"/>
        <v>0</v>
      </c>
      <c r="DM35" s="83">
        <f t="shared" si="40"/>
        <v>0</v>
      </c>
      <c r="DN35" s="83">
        <f t="shared" si="40"/>
        <v>0</v>
      </c>
      <c r="DO35" s="83">
        <f t="shared" si="40"/>
        <v>0</v>
      </c>
      <c r="DP35" s="83">
        <f t="shared" si="40"/>
        <v>0</v>
      </c>
      <c r="DQ35" s="83">
        <f t="shared" si="40"/>
        <v>0</v>
      </c>
      <c r="DR35" s="83">
        <f t="shared" si="40"/>
        <v>0</v>
      </c>
      <c r="DS35" s="83">
        <f t="shared" si="40"/>
        <v>0</v>
      </c>
      <c r="DT35" s="83">
        <f t="shared" si="40"/>
        <v>0</v>
      </c>
      <c r="DU35" s="83">
        <f t="shared" si="40"/>
        <v>0</v>
      </c>
      <c r="DV35" s="83">
        <f aca="true" t="shared" si="41" ref="DV35:EK37">IF($P35=DV$8,$O35,0)</f>
        <v>0</v>
      </c>
      <c r="DW35" s="83">
        <f t="shared" si="41"/>
        <v>0</v>
      </c>
      <c r="DX35" s="83">
        <f t="shared" si="41"/>
        <v>0</v>
      </c>
      <c r="DY35" s="83">
        <f t="shared" si="41"/>
        <v>0</v>
      </c>
      <c r="DZ35" s="83">
        <f t="shared" si="41"/>
        <v>0</v>
      </c>
      <c r="EA35" s="83">
        <f t="shared" si="41"/>
        <v>0</v>
      </c>
      <c r="EB35" s="83">
        <f t="shared" si="41"/>
        <v>0</v>
      </c>
      <c r="EC35" s="83">
        <f t="shared" si="41"/>
        <v>0</v>
      </c>
      <c r="ED35" s="83">
        <f t="shared" si="41"/>
        <v>0</v>
      </c>
      <c r="EE35" s="83">
        <f t="shared" si="41"/>
        <v>0</v>
      </c>
      <c r="EF35" s="83">
        <f t="shared" si="41"/>
        <v>0</v>
      </c>
      <c r="EG35" s="83">
        <f t="shared" si="41"/>
        <v>0</v>
      </c>
      <c r="EH35" s="83">
        <f t="shared" si="41"/>
        <v>0</v>
      </c>
      <c r="EI35" s="83">
        <f t="shared" si="41"/>
        <v>0</v>
      </c>
      <c r="EJ35" s="83">
        <f t="shared" si="41"/>
        <v>0</v>
      </c>
      <c r="EK35" s="83">
        <f t="shared" si="41"/>
        <v>0</v>
      </c>
      <c r="EL35" s="83">
        <f aca="true" t="shared" si="42" ref="EL35:EQ37">IF($P35=EL$8,$O35,0)</f>
        <v>0</v>
      </c>
      <c r="EM35" s="83">
        <f t="shared" si="42"/>
        <v>0</v>
      </c>
      <c r="EN35" s="83">
        <f t="shared" si="42"/>
        <v>0</v>
      </c>
      <c r="EO35" s="83">
        <f t="shared" si="42"/>
        <v>0</v>
      </c>
      <c r="EP35" s="83">
        <f t="shared" si="42"/>
        <v>0</v>
      </c>
      <c r="EQ35" s="83">
        <f t="shared" si="42"/>
        <v>0</v>
      </c>
      <c r="ER35" s="83">
        <f t="shared" si="36"/>
        <v>0</v>
      </c>
      <c r="ES35" s="83">
        <f t="shared" si="36"/>
        <v>0</v>
      </c>
      <c r="ET35" s="83">
        <f t="shared" si="36"/>
        <v>0</v>
      </c>
      <c r="EU35" s="83">
        <f t="shared" si="36"/>
        <v>0</v>
      </c>
      <c r="EV35" s="83">
        <f t="shared" si="36"/>
        <v>0</v>
      </c>
      <c r="EW35" s="83">
        <f t="shared" si="36"/>
        <v>0</v>
      </c>
    </row>
    <row r="36" spans="1:153" ht="12.75" outlineLevel="1">
      <c r="A36" s="207"/>
      <c r="B36" s="218"/>
      <c r="C36" s="208"/>
      <c r="D36" s="192"/>
      <c r="E36" s="262"/>
      <c r="F36" s="268">
        <v>0.01</v>
      </c>
      <c r="G36" s="248">
        <f>C36*(F36-M36)</f>
        <v>0</v>
      </c>
      <c r="H36" s="50"/>
      <c r="I36" s="244"/>
      <c r="J36" s="48"/>
      <c r="K36" s="205"/>
      <c r="L36" s="193">
        <f>C36/F36</f>
        <v>0</v>
      </c>
      <c r="M36" s="194">
        <f>IF((E36+F36)&lt;$F$3,0.01,E36+F36-$F$3-1)</f>
        <v>0.01</v>
      </c>
      <c r="N36" s="193">
        <f>C36/F36*M36</f>
        <v>0</v>
      </c>
      <c r="O36" s="217"/>
      <c r="P36" s="224"/>
      <c r="Q36" s="228">
        <f t="shared" si="18"/>
        <v>0</v>
      </c>
      <c r="R36" s="45">
        <f t="shared" si="37"/>
        <v>0</v>
      </c>
      <c r="S36" s="45">
        <f t="shared" si="37"/>
        <v>0</v>
      </c>
      <c r="T36" s="45">
        <f t="shared" si="37"/>
        <v>0</v>
      </c>
      <c r="U36" s="45">
        <f t="shared" si="37"/>
        <v>0</v>
      </c>
      <c r="V36" s="45">
        <f t="shared" si="37"/>
        <v>0</v>
      </c>
      <c r="W36" s="45">
        <f t="shared" si="37"/>
        <v>0</v>
      </c>
      <c r="X36" s="45">
        <f t="shared" si="37"/>
        <v>0</v>
      </c>
      <c r="Y36" s="45">
        <f t="shared" si="37"/>
        <v>0</v>
      </c>
      <c r="Z36" s="45">
        <f t="shared" si="37"/>
        <v>0</v>
      </c>
      <c r="AA36" s="45">
        <f t="shared" si="37"/>
        <v>0</v>
      </c>
      <c r="AB36" s="45">
        <f t="shared" si="37"/>
        <v>0</v>
      </c>
      <c r="AC36" s="45">
        <f t="shared" si="37"/>
        <v>0</v>
      </c>
      <c r="AD36" s="45">
        <f t="shared" si="37"/>
        <v>0</v>
      </c>
      <c r="AE36" s="45">
        <f t="shared" si="37"/>
        <v>0</v>
      </c>
      <c r="AF36" s="45">
        <f t="shared" si="37"/>
        <v>0</v>
      </c>
      <c r="AG36" s="45">
        <f t="shared" si="37"/>
        <v>0</v>
      </c>
      <c r="AH36" s="45">
        <f t="shared" si="38"/>
        <v>0</v>
      </c>
      <c r="AI36" s="45">
        <f t="shared" si="38"/>
        <v>0</v>
      </c>
      <c r="AJ36" s="45">
        <f t="shared" si="38"/>
        <v>0</v>
      </c>
      <c r="AK36" s="45">
        <f t="shared" si="38"/>
        <v>0</v>
      </c>
      <c r="AL36" s="45">
        <f t="shared" si="38"/>
        <v>0</v>
      </c>
      <c r="AM36" s="45">
        <f t="shared" si="38"/>
        <v>0</v>
      </c>
      <c r="AN36" s="45">
        <f t="shared" si="38"/>
        <v>0</v>
      </c>
      <c r="AO36" s="45">
        <f t="shared" si="38"/>
        <v>0</v>
      </c>
      <c r="AP36" s="45">
        <f t="shared" si="38"/>
        <v>0</v>
      </c>
      <c r="AQ36" s="45">
        <f t="shared" si="38"/>
        <v>0</v>
      </c>
      <c r="AR36" s="45">
        <f t="shared" si="38"/>
        <v>0</v>
      </c>
      <c r="AS36" s="45">
        <f t="shared" si="38"/>
        <v>0</v>
      </c>
      <c r="AT36" s="45">
        <f t="shared" si="38"/>
        <v>0</v>
      </c>
      <c r="AU36" s="45">
        <f t="shared" si="38"/>
        <v>0</v>
      </c>
      <c r="AV36" s="45">
        <f t="shared" si="38"/>
        <v>0</v>
      </c>
      <c r="AW36" s="45">
        <f t="shared" si="38"/>
        <v>0</v>
      </c>
      <c r="AX36" s="45">
        <f t="shared" si="39"/>
        <v>0</v>
      </c>
      <c r="AY36" s="45">
        <f t="shared" si="39"/>
        <v>0</v>
      </c>
      <c r="AZ36" s="45">
        <f t="shared" si="39"/>
        <v>0</v>
      </c>
      <c r="BA36" s="45">
        <f t="shared" si="39"/>
        <v>0</v>
      </c>
      <c r="BB36" s="45">
        <f t="shared" si="39"/>
        <v>0</v>
      </c>
      <c r="BC36" s="45">
        <f t="shared" si="39"/>
        <v>0</v>
      </c>
      <c r="BD36" s="45">
        <f t="shared" si="39"/>
        <v>0</v>
      </c>
      <c r="BE36" s="45">
        <f t="shared" si="39"/>
        <v>0</v>
      </c>
      <c r="BF36" s="45">
        <f t="shared" si="39"/>
        <v>0</v>
      </c>
      <c r="BG36" s="45">
        <f t="shared" si="39"/>
        <v>0</v>
      </c>
      <c r="BH36" s="45">
        <f t="shared" si="39"/>
        <v>0</v>
      </c>
      <c r="BI36" s="45">
        <f t="shared" si="39"/>
        <v>0</v>
      </c>
      <c r="BJ36" s="45"/>
      <c r="BK36" s="45"/>
      <c r="BM36" s="45">
        <f t="shared" si="29"/>
        <v>0</v>
      </c>
      <c r="BN36" s="45">
        <f t="shared" si="29"/>
        <v>0</v>
      </c>
      <c r="BO36" s="45">
        <f t="shared" si="29"/>
        <v>0</v>
      </c>
      <c r="BP36" s="45">
        <f t="shared" si="29"/>
        <v>0</v>
      </c>
      <c r="BQ36" s="45">
        <f t="shared" si="29"/>
        <v>0</v>
      </c>
      <c r="BR36" s="45">
        <f t="shared" si="29"/>
        <v>0</v>
      </c>
      <c r="BS36" s="45">
        <f t="shared" si="29"/>
        <v>0</v>
      </c>
      <c r="BT36" s="45">
        <f t="shared" si="29"/>
        <v>0</v>
      </c>
      <c r="BU36" s="45">
        <f t="shared" si="29"/>
        <v>0</v>
      </c>
      <c r="BV36" s="45">
        <f t="shared" si="29"/>
        <v>0</v>
      </c>
      <c r="BW36" s="45">
        <f t="shared" si="30"/>
        <v>0</v>
      </c>
      <c r="BX36" s="45">
        <f t="shared" si="30"/>
        <v>0</v>
      </c>
      <c r="BY36" s="45">
        <f t="shared" si="30"/>
        <v>0</v>
      </c>
      <c r="BZ36" s="45">
        <f t="shared" si="30"/>
        <v>0</v>
      </c>
      <c r="CA36" s="45">
        <f t="shared" si="30"/>
        <v>0</v>
      </c>
      <c r="CB36" s="45">
        <f t="shared" si="30"/>
        <v>0</v>
      </c>
      <c r="CC36" s="45">
        <f t="shared" si="30"/>
        <v>0</v>
      </c>
      <c r="CD36" s="45">
        <f t="shared" si="30"/>
        <v>0</v>
      </c>
      <c r="CE36" s="45">
        <f t="shared" si="30"/>
        <v>0</v>
      </c>
      <c r="CF36" s="45">
        <f t="shared" si="30"/>
        <v>0</v>
      </c>
      <c r="CG36" s="45">
        <f t="shared" si="31"/>
        <v>0</v>
      </c>
      <c r="CH36" s="45">
        <f t="shared" si="31"/>
        <v>0</v>
      </c>
      <c r="CI36" s="45">
        <f t="shared" si="31"/>
        <v>0</v>
      </c>
      <c r="CJ36" s="45">
        <f t="shared" si="31"/>
        <v>0</v>
      </c>
      <c r="CK36" s="45">
        <f t="shared" si="31"/>
        <v>0</v>
      </c>
      <c r="CL36" s="45">
        <f t="shared" si="31"/>
        <v>0</v>
      </c>
      <c r="CM36" s="45">
        <f t="shared" si="31"/>
        <v>0</v>
      </c>
      <c r="CN36" s="45">
        <f t="shared" si="31"/>
        <v>0</v>
      </c>
      <c r="CO36" s="45">
        <f t="shared" si="31"/>
        <v>0</v>
      </c>
      <c r="CP36" s="45">
        <f t="shared" si="31"/>
        <v>0</v>
      </c>
      <c r="CQ36" s="45">
        <f t="shared" si="32"/>
        <v>0</v>
      </c>
      <c r="CR36" s="45">
        <f t="shared" si="32"/>
        <v>0</v>
      </c>
      <c r="CS36" s="45">
        <f t="shared" si="32"/>
        <v>0</v>
      </c>
      <c r="CT36" s="45">
        <f t="shared" si="32"/>
        <v>0</v>
      </c>
      <c r="CU36" s="45">
        <f t="shared" si="32"/>
        <v>0</v>
      </c>
      <c r="CV36" s="45">
        <f t="shared" si="32"/>
        <v>0</v>
      </c>
      <c r="CW36" s="45">
        <f t="shared" si="32"/>
        <v>0</v>
      </c>
      <c r="CX36" s="45">
        <f t="shared" si="32"/>
        <v>0</v>
      </c>
      <c r="CY36" s="45">
        <f t="shared" si="32"/>
        <v>0</v>
      </c>
      <c r="CZ36" s="45">
        <f t="shared" si="32"/>
        <v>0</v>
      </c>
      <c r="DA36" s="45">
        <f t="shared" si="32"/>
        <v>0</v>
      </c>
      <c r="DB36" s="45">
        <f t="shared" si="32"/>
        <v>0</v>
      </c>
      <c r="DC36" s="45">
        <f t="shared" si="32"/>
        <v>0</v>
      </c>
      <c r="DD36" s="45">
        <f t="shared" si="32"/>
        <v>0</v>
      </c>
      <c r="DF36" s="83">
        <f t="shared" si="12"/>
        <v>0</v>
      </c>
      <c r="DG36" s="83">
        <f t="shared" si="40"/>
        <v>0</v>
      </c>
      <c r="DH36" s="83">
        <f t="shared" si="40"/>
        <v>0</v>
      </c>
      <c r="DI36" s="83">
        <f t="shared" si="40"/>
        <v>0</v>
      </c>
      <c r="DJ36" s="83">
        <f t="shared" si="40"/>
        <v>0</v>
      </c>
      <c r="DK36" s="83">
        <f t="shared" si="40"/>
        <v>0</v>
      </c>
      <c r="DL36" s="83">
        <f t="shared" si="40"/>
        <v>0</v>
      </c>
      <c r="DM36" s="83">
        <f t="shared" si="40"/>
        <v>0</v>
      </c>
      <c r="DN36" s="83">
        <f t="shared" si="40"/>
        <v>0</v>
      </c>
      <c r="DO36" s="83">
        <f t="shared" si="40"/>
        <v>0</v>
      </c>
      <c r="DP36" s="83">
        <f t="shared" si="40"/>
        <v>0</v>
      </c>
      <c r="DQ36" s="83">
        <f t="shared" si="40"/>
        <v>0</v>
      </c>
      <c r="DR36" s="83">
        <f t="shared" si="40"/>
        <v>0</v>
      </c>
      <c r="DS36" s="83">
        <f t="shared" si="40"/>
        <v>0</v>
      </c>
      <c r="DT36" s="83">
        <f t="shared" si="40"/>
        <v>0</v>
      </c>
      <c r="DU36" s="83">
        <f t="shared" si="40"/>
        <v>0</v>
      </c>
      <c r="DV36" s="83">
        <f t="shared" si="41"/>
        <v>0</v>
      </c>
      <c r="DW36" s="83">
        <f t="shared" si="41"/>
        <v>0</v>
      </c>
      <c r="DX36" s="83">
        <f t="shared" si="41"/>
        <v>0</v>
      </c>
      <c r="DY36" s="83">
        <f t="shared" si="41"/>
        <v>0</v>
      </c>
      <c r="DZ36" s="83">
        <f t="shared" si="41"/>
        <v>0</v>
      </c>
      <c r="EA36" s="83">
        <f t="shared" si="41"/>
        <v>0</v>
      </c>
      <c r="EB36" s="83">
        <f t="shared" si="41"/>
        <v>0</v>
      </c>
      <c r="EC36" s="83">
        <f t="shared" si="41"/>
        <v>0</v>
      </c>
      <c r="ED36" s="83">
        <f t="shared" si="41"/>
        <v>0</v>
      </c>
      <c r="EE36" s="83">
        <f t="shared" si="41"/>
        <v>0</v>
      </c>
      <c r="EF36" s="83">
        <f t="shared" si="41"/>
        <v>0</v>
      </c>
      <c r="EG36" s="83">
        <f t="shared" si="41"/>
        <v>0</v>
      </c>
      <c r="EH36" s="83">
        <f t="shared" si="41"/>
        <v>0</v>
      </c>
      <c r="EI36" s="83">
        <f t="shared" si="41"/>
        <v>0</v>
      </c>
      <c r="EJ36" s="83">
        <f t="shared" si="41"/>
        <v>0</v>
      </c>
      <c r="EK36" s="83">
        <f t="shared" si="41"/>
        <v>0</v>
      </c>
      <c r="EL36" s="83">
        <f t="shared" si="42"/>
        <v>0</v>
      </c>
      <c r="EM36" s="83">
        <f t="shared" si="42"/>
        <v>0</v>
      </c>
      <c r="EN36" s="83">
        <f t="shared" si="42"/>
        <v>0</v>
      </c>
      <c r="EO36" s="83">
        <f t="shared" si="42"/>
        <v>0</v>
      </c>
      <c r="EP36" s="83">
        <f t="shared" si="42"/>
        <v>0</v>
      </c>
      <c r="EQ36" s="83">
        <f t="shared" si="42"/>
        <v>0</v>
      </c>
      <c r="ER36" s="83">
        <f t="shared" si="36"/>
        <v>0</v>
      </c>
      <c r="ES36" s="83">
        <f t="shared" si="36"/>
        <v>0</v>
      </c>
      <c r="ET36" s="83">
        <f t="shared" si="36"/>
        <v>0</v>
      </c>
      <c r="EU36" s="83">
        <f t="shared" si="36"/>
        <v>0</v>
      </c>
      <c r="EV36" s="83">
        <f t="shared" si="36"/>
        <v>0</v>
      </c>
      <c r="EW36" s="83">
        <f t="shared" si="36"/>
        <v>0</v>
      </c>
    </row>
    <row r="37" spans="1:153" ht="12.75" outlineLevel="1">
      <c r="A37" s="207"/>
      <c r="B37" s="218"/>
      <c r="C37" s="208"/>
      <c r="D37" s="192"/>
      <c r="E37" s="262"/>
      <c r="F37" s="268">
        <v>0.01</v>
      </c>
      <c r="G37" s="248">
        <f>C37*(F37-M37)</f>
        <v>0</v>
      </c>
      <c r="H37" s="50"/>
      <c r="I37" s="244"/>
      <c r="J37" s="48"/>
      <c r="K37" s="205"/>
      <c r="L37" s="193">
        <f>C37/F37</f>
        <v>0</v>
      </c>
      <c r="M37" s="194">
        <f>IF((E37+F37)&lt;$F$3,0.01,E37+F37-$F$3-1)</f>
        <v>0.01</v>
      </c>
      <c r="N37" s="193">
        <f>C37/F37*M37</f>
        <v>0</v>
      </c>
      <c r="O37" s="217"/>
      <c r="P37" s="224"/>
      <c r="Q37" s="228">
        <f t="shared" si="18"/>
        <v>0</v>
      </c>
      <c r="R37" s="45">
        <f t="shared" si="37"/>
        <v>0</v>
      </c>
      <c r="S37" s="45">
        <f t="shared" si="37"/>
        <v>0</v>
      </c>
      <c r="T37" s="45">
        <f t="shared" si="37"/>
        <v>0</v>
      </c>
      <c r="U37" s="45">
        <f t="shared" si="37"/>
        <v>0</v>
      </c>
      <c r="V37" s="45">
        <f t="shared" si="37"/>
        <v>0</v>
      </c>
      <c r="W37" s="45">
        <f t="shared" si="37"/>
        <v>0</v>
      </c>
      <c r="X37" s="45">
        <f t="shared" si="37"/>
        <v>0</v>
      </c>
      <c r="Y37" s="45">
        <f t="shared" si="37"/>
        <v>0</v>
      </c>
      <c r="Z37" s="45">
        <f t="shared" si="37"/>
        <v>0</v>
      </c>
      <c r="AA37" s="45">
        <f t="shared" si="37"/>
        <v>0</v>
      </c>
      <c r="AB37" s="45">
        <f t="shared" si="37"/>
        <v>0</v>
      </c>
      <c r="AC37" s="45">
        <f t="shared" si="37"/>
        <v>0</v>
      </c>
      <c r="AD37" s="45">
        <f t="shared" si="37"/>
        <v>0</v>
      </c>
      <c r="AE37" s="45">
        <f t="shared" si="37"/>
        <v>0</v>
      </c>
      <c r="AF37" s="45">
        <f t="shared" si="37"/>
        <v>0</v>
      </c>
      <c r="AG37" s="45">
        <f t="shared" si="37"/>
        <v>0</v>
      </c>
      <c r="AH37" s="45">
        <f t="shared" si="38"/>
        <v>0</v>
      </c>
      <c r="AI37" s="45">
        <f t="shared" si="38"/>
        <v>0</v>
      </c>
      <c r="AJ37" s="45">
        <f t="shared" si="38"/>
        <v>0</v>
      </c>
      <c r="AK37" s="45">
        <f t="shared" si="38"/>
        <v>0</v>
      </c>
      <c r="AL37" s="45">
        <f t="shared" si="38"/>
        <v>0</v>
      </c>
      <c r="AM37" s="45">
        <f t="shared" si="38"/>
        <v>0</v>
      </c>
      <c r="AN37" s="45">
        <f t="shared" si="38"/>
        <v>0</v>
      </c>
      <c r="AO37" s="45">
        <f t="shared" si="38"/>
        <v>0</v>
      </c>
      <c r="AP37" s="45">
        <f t="shared" si="38"/>
        <v>0</v>
      </c>
      <c r="AQ37" s="45">
        <f t="shared" si="38"/>
        <v>0</v>
      </c>
      <c r="AR37" s="45">
        <f t="shared" si="38"/>
        <v>0</v>
      </c>
      <c r="AS37" s="45">
        <f t="shared" si="38"/>
        <v>0</v>
      </c>
      <c r="AT37" s="45">
        <f t="shared" si="38"/>
        <v>0</v>
      </c>
      <c r="AU37" s="45">
        <f t="shared" si="38"/>
        <v>0</v>
      </c>
      <c r="AV37" s="45">
        <f t="shared" si="38"/>
        <v>0</v>
      </c>
      <c r="AW37" s="45">
        <f t="shared" si="38"/>
        <v>0</v>
      </c>
      <c r="AX37" s="45">
        <f t="shared" si="39"/>
        <v>0</v>
      </c>
      <c r="AY37" s="45">
        <f t="shared" si="39"/>
        <v>0</v>
      </c>
      <c r="AZ37" s="45">
        <f t="shared" si="39"/>
        <v>0</v>
      </c>
      <c r="BA37" s="45">
        <f t="shared" si="39"/>
        <v>0</v>
      </c>
      <c r="BB37" s="45">
        <f t="shared" si="39"/>
        <v>0</v>
      </c>
      <c r="BC37" s="45">
        <f t="shared" si="39"/>
        <v>0</v>
      </c>
      <c r="BD37" s="45">
        <f t="shared" si="39"/>
        <v>0</v>
      </c>
      <c r="BE37" s="45">
        <f t="shared" si="39"/>
        <v>0</v>
      </c>
      <c r="BF37" s="45">
        <f t="shared" si="39"/>
        <v>0</v>
      </c>
      <c r="BG37" s="45">
        <f t="shared" si="39"/>
        <v>0</v>
      </c>
      <c r="BH37" s="45">
        <f t="shared" si="39"/>
        <v>0</v>
      </c>
      <c r="BI37" s="45">
        <f t="shared" si="39"/>
        <v>0</v>
      </c>
      <c r="BJ37" s="45"/>
      <c r="BK37" s="45"/>
      <c r="BM37" s="45">
        <f t="shared" si="29"/>
        <v>0</v>
      </c>
      <c r="BN37" s="45">
        <f t="shared" si="29"/>
        <v>0</v>
      </c>
      <c r="BO37" s="45">
        <f t="shared" si="29"/>
        <v>0</v>
      </c>
      <c r="BP37" s="45">
        <f t="shared" si="29"/>
        <v>0</v>
      </c>
      <c r="BQ37" s="45">
        <f t="shared" si="29"/>
        <v>0</v>
      </c>
      <c r="BR37" s="45">
        <f t="shared" si="29"/>
        <v>0</v>
      </c>
      <c r="BS37" s="45">
        <f t="shared" si="29"/>
        <v>0</v>
      </c>
      <c r="BT37" s="45">
        <f t="shared" si="29"/>
        <v>0</v>
      </c>
      <c r="BU37" s="45">
        <f t="shared" si="29"/>
        <v>0</v>
      </c>
      <c r="BV37" s="45">
        <f t="shared" si="29"/>
        <v>0</v>
      </c>
      <c r="BW37" s="45">
        <f t="shared" si="30"/>
        <v>0</v>
      </c>
      <c r="BX37" s="45">
        <f t="shared" si="30"/>
        <v>0</v>
      </c>
      <c r="BY37" s="45">
        <f t="shared" si="30"/>
        <v>0</v>
      </c>
      <c r="BZ37" s="45">
        <f t="shared" si="30"/>
        <v>0</v>
      </c>
      <c r="CA37" s="45">
        <f t="shared" si="30"/>
        <v>0</v>
      </c>
      <c r="CB37" s="45">
        <f t="shared" si="30"/>
        <v>0</v>
      </c>
      <c r="CC37" s="45">
        <f t="shared" si="30"/>
        <v>0</v>
      </c>
      <c r="CD37" s="45">
        <f t="shared" si="30"/>
        <v>0</v>
      </c>
      <c r="CE37" s="45">
        <f t="shared" si="30"/>
        <v>0</v>
      </c>
      <c r="CF37" s="45">
        <f t="shared" si="30"/>
        <v>0</v>
      </c>
      <c r="CG37" s="45">
        <f t="shared" si="31"/>
        <v>0</v>
      </c>
      <c r="CH37" s="45">
        <f t="shared" si="31"/>
        <v>0</v>
      </c>
      <c r="CI37" s="45">
        <f t="shared" si="31"/>
        <v>0</v>
      </c>
      <c r="CJ37" s="45">
        <f t="shared" si="31"/>
        <v>0</v>
      </c>
      <c r="CK37" s="45">
        <f t="shared" si="31"/>
        <v>0</v>
      </c>
      <c r="CL37" s="45">
        <f t="shared" si="31"/>
        <v>0</v>
      </c>
      <c r="CM37" s="45">
        <f t="shared" si="31"/>
        <v>0</v>
      </c>
      <c r="CN37" s="45">
        <f t="shared" si="31"/>
        <v>0</v>
      </c>
      <c r="CO37" s="45">
        <f t="shared" si="31"/>
        <v>0</v>
      </c>
      <c r="CP37" s="45">
        <f t="shared" si="31"/>
        <v>0</v>
      </c>
      <c r="CQ37" s="45">
        <f t="shared" si="32"/>
        <v>0</v>
      </c>
      <c r="CR37" s="45">
        <f t="shared" si="32"/>
        <v>0</v>
      </c>
      <c r="CS37" s="45">
        <f t="shared" si="32"/>
        <v>0</v>
      </c>
      <c r="CT37" s="45">
        <f t="shared" si="32"/>
        <v>0</v>
      </c>
      <c r="CU37" s="45">
        <f t="shared" si="32"/>
        <v>0</v>
      </c>
      <c r="CV37" s="45">
        <f t="shared" si="32"/>
        <v>0</v>
      </c>
      <c r="CW37" s="45">
        <f t="shared" si="32"/>
        <v>0</v>
      </c>
      <c r="CX37" s="45">
        <f t="shared" si="32"/>
        <v>0</v>
      </c>
      <c r="CY37" s="45">
        <f t="shared" si="32"/>
        <v>0</v>
      </c>
      <c r="CZ37" s="45">
        <f t="shared" si="32"/>
        <v>0</v>
      </c>
      <c r="DA37" s="45">
        <f t="shared" si="32"/>
        <v>0</v>
      </c>
      <c r="DB37" s="45">
        <f t="shared" si="32"/>
        <v>0</v>
      </c>
      <c r="DC37" s="45">
        <f t="shared" si="32"/>
        <v>0</v>
      </c>
      <c r="DD37" s="45">
        <f t="shared" si="32"/>
        <v>0</v>
      </c>
      <c r="DF37" s="83">
        <f t="shared" si="12"/>
        <v>0</v>
      </c>
      <c r="DG37" s="83">
        <f t="shared" si="40"/>
        <v>0</v>
      </c>
      <c r="DH37" s="83">
        <f t="shared" si="40"/>
        <v>0</v>
      </c>
      <c r="DI37" s="83">
        <f t="shared" si="40"/>
        <v>0</v>
      </c>
      <c r="DJ37" s="83">
        <f t="shared" si="40"/>
        <v>0</v>
      </c>
      <c r="DK37" s="83">
        <f t="shared" si="40"/>
        <v>0</v>
      </c>
      <c r="DL37" s="83">
        <f t="shared" si="40"/>
        <v>0</v>
      </c>
      <c r="DM37" s="83">
        <f t="shared" si="40"/>
        <v>0</v>
      </c>
      <c r="DN37" s="83">
        <f t="shared" si="40"/>
        <v>0</v>
      </c>
      <c r="DO37" s="83">
        <f t="shared" si="40"/>
        <v>0</v>
      </c>
      <c r="DP37" s="83">
        <f t="shared" si="40"/>
        <v>0</v>
      </c>
      <c r="DQ37" s="83">
        <f t="shared" si="40"/>
        <v>0</v>
      </c>
      <c r="DR37" s="83">
        <f t="shared" si="40"/>
        <v>0</v>
      </c>
      <c r="DS37" s="83">
        <f t="shared" si="40"/>
        <v>0</v>
      </c>
      <c r="DT37" s="83">
        <f t="shared" si="40"/>
        <v>0</v>
      </c>
      <c r="DU37" s="83">
        <f t="shared" si="40"/>
        <v>0</v>
      </c>
      <c r="DV37" s="83">
        <f t="shared" si="41"/>
        <v>0</v>
      </c>
      <c r="DW37" s="83">
        <f t="shared" si="41"/>
        <v>0</v>
      </c>
      <c r="DX37" s="83">
        <f t="shared" si="41"/>
        <v>0</v>
      </c>
      <c r="DY37" s="83">
        <f t="shared" si="41"/>
        <v>0</v>
      </c>
      <c r="DZ37" s="83">
        <f t="shared" si="41"/>
        <v>0</v>
      </c>
      <c r="EA37" s="83">
        <f t="shared" si="41"/>
        <v>0</v>
      </c>
      <c r="EB37" s="83">
        <f t="shared" si="41"/>
        <v>0</v>
      </c>
      <c r="EC37" s="83">
        <f t="shared" si="41"/>
        <v>0</v>
      </c>
      <c r="ED37" s="83">
        <f t="shared" si="41"/>
        <v>0</v>
      </c>
      <c r="EE37" s="83">
        <f t="shared" si="41"/>
        <v>0</v>
      </c>
      <c r="EF37" s="83">
        <f t="shared" si="41"/>
        <v>0</v>
      </c>
      <c r="EG37" s="83">
        <f t="shared" si="41"/>
        <v>0</v>
      </c>
      <c r="EH37" s="83">
        <f t="shared" si="41"/>
        <v>0</v>
      </c>
      <c r="EI37" s="83">
        <f t="shared" si="41"/>
        <v>0</v>
      </c>
      <c r="EJ37" s="83">
        <f t="shared" si="41"/>
        <v>0</v>
      </c>
      <c r="EK37" s="83">
        <f t="shared" si="41"/>
        <v>0</v>
      </c>
      <c r="EL37" s="83">
        <f t="shared" si="42"/>
        <v>0</v>
      </c>
      <c r="EM37" s="83">
        <f t="shared" si="42"/>
        <v>0</v>
      </c>
      <c r="EN37" s="83">
        <f t="shared" si="42"/>
        <v>0</v>
      </c>
      <c r="EO37" s="83">
        <f t="shared" si="42"/>
        <v>0</v>
      </c>
      <c r="EP37" s="83">
        <f t="shared" si="42"/>
        <v>0</v>
      </c>
      <c r="EQ37" s="83">
        <f t="shared" si="42"/>
        <v>0</v>
      </c>
      <c r="ER37" s="83">
        <f t="shared" si="36"/>
        <v>0</v>
      </c>
      <c r="ES37" s="83">
        <f t="shared" si="36"/>
        <v>0</v>
      </c>
      <c r="ET37" s="83">
        <f t="shared" si="36"/>
        <v>0</v>
      </c>
      <c r="EU37" s="83">
        <f t="shared" si="36"/>
        <v>0</v>
      </c>
      <c r="EV37" s="83">
        <f t="shared" si="36"/>
        <v>0</v>
      </c>
      <c r="EW37" s="83">
        <f t="shared" si="36"/>
        <v>0</v>
      </c>
    </row>
    <row r="38" spans="1:153" ht="12.75">
      <c r="A38" s="206"/>
      <c r="B38" s="88"/>
      <c r="C38" s="195"/>
      <c r="D38" s="196"/>
      <c r="E38" s="196"/>
      <c r="F38" s="196"/>
      <c r="G38" s="220"/>
      <c r="H38" s="245"/>
      <c r="I38" s="245"/>
      <c r="J38" s="245"/>
      <c r="K38" s="243"/>
      <c r="L38" s="242"/>
      <c r="M38" s="242"/>
      <c r="N38" s="242"/>
      <c r="O38" s="223"/>
      <c r="P38" s="196"/>
      <c r="Q38" s="228"/>
      <c r="R38" s="45">
        <f aca="true" t="shared" si="43" ref="R38:BI38">IF($J41&gt;$J39,($J41-$J39)*0.1*(1-10%)^(R8-$F$3-1),0)</f>
        <v>0</v>
      </c>
      <c r="S38" s="45">
        <f t="shared" si="43"/>
        <v>0</v>
      </c>
      <c r="T38" s="45">
        <f t="shared" si="43"/>
        <v>0</v>
      </c>
      <c r="U38" s="45">
        <f t="shared" si="43"/>
        <v>0</v>
      </c>
      <c r="V38" s="45">
        <f t="shared" si="43"/>
        <v>0</v>
      </c>
      <c r="W38" s="45">
        <f t="shared" si="43"/>
        <v>0</v>
      </c>
      <c r="X38" s="45">
        <f t="shared" si="43"/>
        <v>0</v>
      </c>
      <c r="Y38" s="45">
        <f t="shared" si="43"/>
        <v>0</v>
      </c>
      <c r="Z38" s="45">
        <f t="shared" si="43"/>
        <v>0</v>
      </c>
      <c r="AA38" s="45">
        <f t="shared" si="43"/>
        <v>0</v>
      </c>
      <c r="AB38" s="45">
        <f t="shared" si="43"/>
        <v>0</v>
      </c>
      <c r="AC38" s="45">
        <f t="shared" si="43"/>
        <v>0</v>
      </c>
      <c r="AD38" s="45">
        <f t="shared" si="43"/>
        <v>0</v>
      </c>
      <c r="AE38" s="45">
        <f t="shared" si="43"/>
        <v>0</v>
      </c>
      <c r="AF38" s="45">
        <f t="shared" si="43"/>
        <v>0</v>
      </c>
      <c r="AG38" s="45">
        <f t="shared" si="43"/>
        <v>0</v>
      </c>
      <c r="AH38" s="45">
        <f t="shared" si="43"/>
        <v>0</v>
      </c>
      <c r="AI38" s="45">
        <f t="shared" si="43"/>
        <v>0</v>
      </c>
      <c r="AJ38" s="45">
        <f t="shared" si="43"/>
        <v>0</v>
      </c>
      <c r="AK38" s="45">
        <f t="shared" si="43"/>
        <v>0</v>
      </c>
      <c r="AL38" s="45">
        <f t="shared" si="43"/>
        <v>0</v>
      </c>
      <c r="AM38" s="45">
        <f t="shared" si="43"/>
        <v>0</v>
      </c>
      <c r="AN38" s="45">
        <f t="shared" si="43"/>
        <v>0</v>
      </c>
      <c r="AO38" s="45">
        <f t="shared" si="43"/>
        <v>0</v>
      </c>
      <c r="AP38" s="45">
        <f t="shared" si="43"/>
        <v>0</v>
      </c>
      <c r="AQ38" s="45">
        <f t="shared" si="43"/>
        <v>0</v>
      </c>
      <c r="AR38" s="45">
        <f t="shared" si="43"/>
        <v>0</v>
      </c>
      <c r="AS38" s="45">
        <f t="shared" si="43"/>
        <v>0</v>
      </c>
      <c r="AT38" s="45">
        <f t="shared" si="43"/>
        <v>0</v>
      </c>
      <c r="AU38" s="45">
        <f t="shared" si="43"/>
        <v>0</v>
      </c>
      <c r="AV38" s="45">
        <f t="shared" si="43"/>
        <v>0</v>
      </c>
      <c r="AW38" s="45">
        <f t="shared" si="43"/>
        <v>0</v>
      </c>
      <c r="AX38" s="45">
        <f t="shared" si="43"/>
        <v>0</v>
      </c>
      <c r="AY38" s="45">
        <f t="shared" si="43"/>
        <v>0</v>
      </c>
      <c r="AZ38" s="45">
        <f t="shared" si="43"/>
        <v>0</v>
      </c>
      <c r="BA38" s="45">
        <f t="shared" si="43"/>
        <v>0</v>
      </c>
      <c r="BB38" s="45">
        <f t="shared" si="43"/>
        <v>0</v>
      </c>
      <c r="BC38" s="45">
        <f t="shared" si="43"/>
        <v>0</v>
      </c>
      <c r="BD38" s="45">
        <f t="shared" si="43"/>
        <v>0</v>
      </c>
      <c r="BE38" s="45">
        <f t="shared" si="43"/>
        <v>0</v>
      </c>
      <c r="BF38" s="45">
        <f t="shared" si="43"/>
        <v>0</v>
      </c>
      <c r="BG38" s="45">
        <f t="shared" si="43"/>
        <v>0</v>
      </c>
      <c r="BH38" s="45">
        <f t="shared" si="43"/>
        <v>0</v>
      </c>
      <c r="BI38" s="45">
        <f t="shared" si="43"/>
        <v>0</v>
      </c>
      <c r="BJ38" s="45"/>
      <c r="BK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F38" s="83">
        <f t="shared" si="12"/>
        <v>0</v>
      </c>
      <c r="DG38" s="83">
        <f t="shared" si="40"/>
        <v>0</v>
      </c>
      <c r="DH38" s="83">
        <f t="shared" si="40"/>
        <v>0</v>
      </c>
      <c r="DI38" s="83">
        <f t="shared" si="40"/>
        <v>0</v>
      </c>
      <c r="DJ38" s="83">
        <f t="shared" si="40"/>
        <v>0</v>
      </c>
      <c r="DK38" s="83">
        <f t="shared" si="40"/>
        <v>0</v>
      </c>
      <c r="DL38" s="83">
        <f t="shared" si="40"/>
        <v>0</v>
      </c>
      <c r="DM38" s="83">
        <f t="shared" si="40"/>
        <v>0</v>
      </c>
      <c r="DN38" s="83">
        <f t="shared" si="40"/>
        <v>0</v>
      </c>
      <c r="DO38" s="83">
        <f t="shared" si="40"/>
        <v>0</v>
      </c>
      <c r="DP38" s="83">
        <f t="shared" si="40"/>
        <v>0</v>
      </c>
      <c r="DQ38" s="83">
        <f t="shared" si="40"/>
        <v>0</v>
      </c>
      <c r="DR38" s="83">
        <f t="shared" si="40"/>
        <v>0</v>
      </c>
      <c r="DS38" s="83">
        <f t="shared" si="40"/>
        <v>0</v>
      </c>
      <c r="DT38" s="83">
        <f t="shared" si="40"/>
        <v>0</v>
      </c>
      <c r="DU38" s="83">
        <f t="shared" si="40"/>
        <v>0</v>
      </c>
      <c r="DV38" s="83">
        <f aca="true" t="shared" si="44" ref="DV38:EQ38">IF($P38=DV$8,$O38,0)</f>
        <v>0</v>
      </c>
      <c r="DW38" s="83">
        <f t="shared" si="44"/>
        <v>0</v>
      </c>
      <c r="DX38" s="83">
        <f t="shared" si="44"/>
        <v>0</v>
      </c>
      <c r="DY38" s="83">
        <f t="shared" si="44"/>
        <v>0</v>
      </c>
      <c r="DZ38" s="83">
        <f t="shared" si="44"/>
        <v>0</v>
      </c>
      <c r="EA38" s="83">
        <f t="shared" si="44"/>
        <v>0</v>
      </c>
      <c r="EB38" s="83">
        <f t="shared" si="44"/>
        <v>0</v>
      </c>
      <c r="EC38" s="83">
        <f t="shared" si="44"/>
        <v>0</v>
      </c>
      <c r="ED38" s="83">
        <f t="shared" si="44"/>
        <v>0</v>
      </c>
      <c r="EE38" s="83">
        <f t="shared" si="44"/>
        <v>0</v>
      </c>
      <c r="EF38" s="83">
        <f t="shared" si="44"/>
        <v>0</v>
      </c>
      <c r="EG38" s="83">
        <f t="shared" si="44"/>
        <v>0</v>
      </c>
      <c r="EH38" s="83">
        <f t="shared" si="44"/>
        <v>0</v>
      </c>
      <c r="EI38" s="83">
        <f t="shared" si="44"/>
        <v>0</v>
      </c>
      <c r="EJ38" s="83">
        <f t="shared" si="44"/>
        <v>0</v>
      </c>
      <c r="EK38" s="83">
        <f t="shared" si="44"/>
        <v>0</v>
      </c>
      <c r="EL38" s="83">
        <f t="shared" si="44"/>
        <v>0</v>
      </c>
      <c r="EM38" s="83">
        <f t="shared" si="44"/>
        <v>0</v>
      </c>
      <c r="EN38" s="83">
        <f t="shared" si="44"/>
        <v>0</v>
      </c>
      <c r="EO38" s="83">
        <f t="shared" si="44"/>
        <v>0</v>
      </c>
      <c r="EP38" s="83">
        <f t="shared" si="44"/>
        <v>0</v>
      </c>
      <c r="EQ38" s="83">
        <f t="shared" si="44"/>
        <v>0</v>
      </c>
      <c r="ER38" s="83">
        <f t="shared" si="36"/>
        <v>0</v>
      </c>
      <c r="ES38" s="83">
        <f t="shared" si="36"/>
        <v>0</v>
      </c>
      <c r="ET38" s="83">
        <f t="shared" si="36"/>
        <v>0</v>
      </c>
      <c r="EU38" s="83">
        <f t="shared" si="36"/>
        <v>0</v>
      </c>
      <c r="EV38" s="83">
        <f t="shared" si="36"/>
        <v>0</v>
      </c>
      <c r="EW38" s="83">
        <f t="shared" si="36"/>
        <v>0</v>
      </c>
    </row>
    <row r="39" spans="1:153" ht="13.5" thickBot="1">
      <c r="A39" s="46" t="s">
        <v>139</v>
      </c>
      <c r="B39" s="46"/>
      <c r="C39" s="197">
        <f>SUM(C11:C34)</f>
        <v>3484</v>
      </c>
      <c r="D39" s="198">
        <f>SUM(D11:D32)</f>
        <v>0</v>
      </c>
      <c r="E39" s="46"/>
      <c r="F39" s="46"/>
      <c r="G39" s="199">
        <f>SUM(G11:G38)/C39</f>
        <v>19.699483352468427</v>
      </c>
      <c r="H39" s="222">
        <f>SUM(H11:H32)</f>
        <v>985.9215680666321</v>
      </c>
      <c r="I39" s="222">
        <f>SUM(I11:I32)</f>
        <v>477.5</v>
      </c>
      <c r="J39" s="222">
        <f>SUM(J11:J32)</f>
        <v>754.0316680666319</v>
      </c>
      <c r="K39" s="226">
        <f>Q39/C39</f>
        <v>35.794202066590124</v>
      </c>
      <c r="L39" s="222">
        <f>SUM(L11:L38)</f>
        <v>22.752142294625614</v>
      </c>
      <c r="M39" s="199">
        <f>Q39/C39</f>
        <v>35.794202066590124</v>
      </c>
      <c r="N39" s="260">
        <f>SUM(N11:N38)</f>
        <v>754.0316680666319</v>
      </c>
      <c r="O39" s="199">
        <f>SUM(O11:O34)</f>
        <v>7751</v>
      </c>
      <c r="P39" s="198"/>
      <c r="Q39" s="228">
        <f>SUM(Q11:Q37)</f>
        <v>124707</v>
      </c>
      <c r="R39" s="47">
        <f>SUM(R10:R38)</f>
        <v>22.752142294625614</v>
      </c>
      <c r="S39" s="47">
        <f aca="true" t="shared" si="45" ref="S39:BI39">SUM(S10:S38)</f>
        <v>22.752142294625614</v>
      </c>
      <c r="T39" s="47">
        <f t="shared" si="45"/>
        <v>22.752142294625614</v>
      </c>
      <c r="U39" s="47">
        <f t="shared" si="45"/>
        <v>22.752142294625614</v>
      </c>
      <c r="V39" s="47">
        <f t="shared" si="45"/>
        <v>22.752142294625614</v>
      </c>
      <c r="W39" s="47">
        <f t="shared" si="45"/>
        <v>22.752142294625614</v>
      </c>
      <c r="X39" s="47">
        <f t="shared" si="45"/>
        <v>22.752142294625614</v>
      </c>
      <c r="Y39" s="47">
        <f t="shared" si="45"/>
        <v>22.752142294625614</v>
      </c>
      <c r="Z39" s="47">
        <f t="shared" si="45"/>
        <v>22.752142294625614</v>
      </c>
      <c r="AA39" s="47">
        <f t="shared" si="45"/>
        <v>22.752142294625614</v>
      </c>
      <c r="AB39" s="47">
        <f t="shared" si="45"/>
        <v>22.752142294625614</v>
      </c>
      <c r="AC39" s="47">
        <f t="shared" si="45"/>
        <v>19.44282411280743</v>
      </c>
      <c r="AD39" s="47">
        <f t="shared" si="45"/>
        <v>19.43801729513276</v>
      </c>
      <c r="AE39" s="47">
        <f t="shared" si="45"/>
        <v>19.43801729513276</v>
      </c>
      <c r="AF39" s="47">
        <f t="shared" si="45"/>
        <v>19.43801729513276</v>
      </c>
      <c r="AG39" s="47">
        <f t="shared" si="45"/>
        <v>19.43801729513276</v>
      </c>
      <c r="AH39" s="47">
        <f t="shared" si="45"/>
        <v>19.42660509742462</v>
      </c>
      <c r="AI39" s="47">
        <f t="shared" si="45"/>
        <v>18.699472053127383</v>
      </c>
      <c r="AJ39" s="47">
        <f t="shared" si="45"/>
        <v>18.699472053127383</v>
      </c>
      <c r="AK39" s="47">
        <f t="shared" si="45"/>
        <v>18.699472053127383</v>
      </c>
      <c r="AL39" s="47">
        <f t="shared" si="45"/>
        <v>18.699472053127383</v>
      </c>
      <c r="AM39" s="47">
        <f t="shared" si="45"/>
        <v>18.699472053127383</v>
      </c>
      <c r="AN39" s="47">
        <f t="shared" si="45"/>
        <v>18.67893793193099</v>
      </c>
      <c r="AO39" s="47">
        <f t="shared" si="45"/>
        <v>18.67893793193099</v>
      </c>
      <c r="AP39" s="47">
        <f t="shared" si="45"/>
        <v>18.67893793193099</v>
      </c>
      <c r="AQ39" s="47">
        <f t="shared" si="45"/>
        <v>18.67893793193099</v>
      </c>
      <c r="AR39" s="47">
        <f t="shared" si="45"/>
        <v>18.67893793193099</v>
      </c>
      <c r="AS39" s="47">
        <f t="shared" si="45"/>
        <v>18.67893793193099</v>
      </c>
      <c r="AT39" s="47">
        <f t="shared" si="45"/>
        <v>18.67893793193099</v>
      </c>
      <c r="AU39" s="47">
        <f t="shared" si="45"/>
        <v>18.67893793193099</v>
      </c>
      <c r="AV39" s="47">
        <f t="shared" si="45"/>
        <v>18.67893793193099</v>
      </c>
      <c r="AW39" s="47">
        <f t="shared" si="45"/>
        <v>15.453131480318088</v>
      </c>
      <c r="AX39" s="47">
        <f t="shared" si="45"/>
        <v>15.428040475324913</v>
      </c>
      <c r="AY39" s="47">
        <f t="shared" si="45"/>
        <v>15.428040475324913</v>
      </c>
      <c r="AZ39" s="47">
        <f t="shared" si="45"/>
        <v>13.44295203414844</v>
      </c>
      <c r="BA39" s="47">
        <f t="shared" si="45"/>
        <v>13.44295203414844</v>
      </c>
      <c r="BB39" s="47">
        <f t="shared" si="45"/>
        <v>12.95087703414844</v>
      </c>
      <c r="BC39" s="47">
        <f t="shared" si="45"/>
        <v>3.128352557352077</v>
      </c>
      <c r="BD39" s="47">
        <f t="shared" si="45"/>
        <v>3.0425104618447634</v>
      </c>
      <c r="BE39" s="47">
        <f t="shared" si="45"/>
        <v>2.784250482198831</v>
      </c>
      <c r="BF39" s="47">
        <f>SUM(BF10:BF38)</f>
        <v>2.7068866183465614</v>
      </c>
      <c r="BG39" s="47">
        <f t="shared" si="45"/>
        <v>2.7068866183465614</v>
      </c>
      <c r="BH39" s="47">
        <f t="shared" si="45"/>
        <v>2.689441697245649</v>
      </c>
      <c r="BI39" s="47">
        <f t="shared" si="45"/>
        <v>2.504173930515033</v>
      </c>
      <c r="BJ39" s="50"/>
      <c r="BK39" s="50"/>
      <c r="BM39" s="47">
        <f>SUM(BM10:BM38)</f>
        <v>0</v>
      </c>
      <c r="BN39" s="47">
        <f aca="true" t="shared" si="46" ref="BN39:DD39">SUM(BN10:BN38)</f>
        <v>0</v>
      </c>
      <c r="BO39" s="47">
        <f t="shared" si="46"/>
        <v>0</v>
      </c>
      <c r="BP39" s="47">
        <f t="shared" si="46"/>
        <v>0</v>
      </c>
      <c r="BQ39" s="47">
        <f t="shared" si="46"/>
        <v>0</v>
      </c>
      <c r="BR39" s="47">
        <f t="shared" si="46"/>
        <v>0</v>
      </c>
      <c r="BS39" s="47">
        <f t="shared" si="46"/>
        <v>0</v>
      </c>
      <c r="BT39" s="47">
        <f t="shared" si="46"/>
        <v>0</v>
      </c>
      <c r="BU39" s="47">
        <f t="shared" si="46"/>
        <v>0</v>
      </c>
      <c r="BV39" s="47">
        <f t="shared" si="46"/>
        <v>0</v>
      </c>
      <c r="BW39" s="47">
        <f t="shared" si="46"/>
        <v>0</v>
      </c>
      <c r="BX39" s="47">
        <f t="shared" si="46"/>
        <v>14.733333333333334</v>
      </c>
      <c r="BY39" s="47">
        <f t="shared" si="46"/>
        <v>18.304761904761907</v>
      </c>
      <c r="BZ39" s="47">
        <f t="shared" si="46"/>
        <v>18.304761904761907</v>
      </c>
      <c r="CA39" s="47">
        <f t="shared" si="46"/>
        <v>18.304761904761907</v>
      </c>
      <c r="CB39" s="47">
        <f t="shared" si="46"/>
        <v>18.304761904761907</v>
      </c>
      <c r="CC39" s="47">
        <f t="shared" si="46"/>
        <v>24.733333333333334</v>
      </c>
      <c r="CD39" s="47">
        <f t="shared" si="46"/>
        <v>33.13333333333333</v>
      </c>
      <c r="CE39" s="47">
        <f t="shared" si="46"/>
        <v>33.13333333333333</v>
      </c>
      <c r="CF39" s="47">
        <f t="shared" si="46"/>
        <v>33.13333333333333</v>
      </c>
      <c r="CG39" s="47">
        <f t="shared" si="46"/>
        <v>33.13333333333333</v>
      </c>
      <c r="CH39" s="47">
        <f t="shared" si="46"/>
        <v>33.13333333333333</v>
      </c>
      <c r="CI39" s="47">
        <f t="shared" si="46"/>
        <v>40.27619047619048</v>
      </c>
      <c r="CJ39" s="47">
        <f t="shared" si="46"/>
        <v>40.27619047619048</v>
      </c>
      <c r="CK39" s="47">
        <f t="shared" si="46"/>
        <v>40.27619047619048</v>
      </c>
      <c r="CL39" s="47">
        <f t="shared" si="46"/>
        <v>40.27619047619048</v>
      </c>
      <c r="CM39" s="47">
        <f t="shared" si="46"/>
        <v>25.54285714285714</v>
      </c>
      <c r="CN39" s="47">
        <f t="shared" si="46"/>
        <v>25.54285714285714</v>
      </c>
      <c r="CO39" s="47">
        <f t="shared" si="46"/>
        <v>25.54285714285714</v>
      </c>
      <c r="CP39" s="47">
        <f t="shared" si="46"/>
        <v>25.54285714285714</v>
      </c>
      <c r="CQ39" s="47">
        <f t="shared" si="46"/>
        <v>25.54285714285714</v>
      </c>
      <c r="CR39" s="47">
        <f t="shared" si="46"/>
        <v>34.11428571428572</v>
      </c>
      <c r="CS39" s="47">
        <f t="shared" si="46"/>
        <v>37.25714285714287</v>
      </c>
      <c r="CT39" s="47">
        <f t="shared" si="46"/>
        <v>37.25714285714287</v>
      </c>
      <c r="CU39" s="47">
        <f t="shared" si="46"/>
        <v>41.00714285714287</v>
      </c>
      <c r="CV39" s="47">
        <f t="shared" si="46"/>
        <v>41.00714285714287</v>
      </c>
      <c r="CW39" s="47">
        <f t="shared" si="46"/>
        <v>42.00714285714287</v>
      </c>
      <c r="CX39" s="47">
        <f t="shared" si="46"/>
        <v>65.9357142857143</v>
      </c>
      <c r="CY39" s="47">
        <f t="shared" si="46"/>
        <v>71.65</v>
      </c>
      <c r="CZ39" s="47">
        <f t="shared" si="46"/>
        <v>84.50714285714287</v>
      </c>
      <c r="DA39" s="47">
        <f t="shared" si="46"/>
        <v>87.79285714285716</v>
      </c>
      <c r="DB39" s="47">
        <f t="shared" si="46"/>
        <v>87.79285714285716</v>
      </c>
      <c r="DC39" s="47">
        <f t="shared" si="46"/>
        <v>88.4357142857143</v>
      </c>
      <c r="DD39" s="47">
        <f t="shared" si="46"/>
        <v>94.86428571428573</v>
      </c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</row>
    <row r="40" spans="110:153" ht="14.25" thickBot="1" thickTop="1">
      <c r="DF40" s="53">
        <f>SUM(DF10:DF38)</f>
        <v>0</v>
      </c>
      <c r="DG40" s="53">
        <f>SUM(DG10:DG38)</f>
        <v>0</v>
      </c>
      <c r="DH40" s="53">
        <f aca="true" t="shared" si="47" ref="DH40:EW40">SUM(DH10:DH38)</f>
        <v>0</v>
      </c>
      <c r="DI40" s="53">
        <f t="shared" si="47"/>
        <v>0</v>
      </c>
      <c r="DJ40" s="53">
        <f t="shared" si="47"/>
        <v>0</v>
      </c>
      <c r="DK40" s="53">
        <f t="shared" si="47"/>
        <v>0</v>
      </c>
      <c r="DL40" s="53">
        <f t="shared" si="47"/>
        <v>0</v>
      </c>
      <c r="DM40" s="53">
        <f t="shared" si="47"/>
        <v>0</v>
      </c>
      <c r="DN40" s="53">
        <f t="shared" si="47"/>
        <v>0</v>
      </c>
      <c r="DO40" s="53">
        <f t="shared" si="47"/>
        <v>0</v>
      </c>
      <c r="DP40" s="53">
        <f t="shared" si="47"/>
        <v>0</v>
      </c>
      <c r="DQ40" s="53">
        <f t="shared" si="47"/>
        <v>221</v>
      </c>
      <c r="DR40" s="53">
        <f t="shared" si="47"/>
        <v>250</v>
      </c>
      <c r="DS40" s="53">
        <f t="shared" si="47"/>
        <v>0</v>
      </c>
      <c r="DT40" s="53">
        <f t="shared" si="47"/>
        <v>0</v>
      </c>
      <c r="DU40" s="53">
        <f t="shared" si="47"/>
        <v>0</v>
      </c>
      <c r="DV40" s="53">
        <f t="shared" si="47"/>
        <v>450</v>
      </c>
      <c r="DW40" s="53">
        <f t="shared" si="47"/>
        <v>420</v>
      </c>
      <c r="DX40" s="53">
        <f t="shared" si="47"/>
        <v>0</v>
      </c>
      <c r="DY40" s="53">
        <f t="shared" si="47"/>
        <v>0</v>
      </c>
      <c r="DZ40" s="53">
        <f t="shared" si="47"/>
        <v>0</v>
      </c>
      <c r="EA40" s="53">
        <f t="shared" si="47"/>
        <v>0</v>
      </c>
      <c r="EB40" s="53">
        <f t="shared" si="47"/>
        <v>500</v>
      </c>
      <c r="EC40" s="53">
        <f t="shared" si="47"/>
        <v>0</v>
      </c>
      <c r="ED40" s="53">
        <f t="shared" si="47"/>
        <v>0</v>
      </c>
      <c r="EE40" s="53">
        <f t="shared" si="47"/>
        <v>0</v>
      </c>
      <c r="EF40" s="53">
        <f t="shared" si="47"/>
        <v>0</v>
      </c>
      <c r="EG40" s="53">
        <f t="shared" si="47"/>
        <v>0</v>
      </c>
      <c r="EH40" s="53">
        <f t="shared" si="47"/>
        <v>0</v>
      </c>
      <c r="EI40" s="53">
        <f t="shared" si="47"/>
        <v>0</v>
      </c>
      <c r="EJ40" s="53">
        <f t="shared" si="47"/>
        <v>0</v>
      </c>
      <c r="EK40" s="53">
        <f t="shared" si="47"/>
        <v>300</v>
      </c>
      <c r="EL40" s="53">
        <f t="shared" si="47"/>
        <v>220</v>
      </c>
      <c r="EM40" s="53">
        <f t="shared" si="47"/>
        <v>0</v>
      </c>
      <c r="EN40" s="53">
        <f t="shared" si="47"/>
        <v>150</v>
      </c>
      <c r="EO40" s="53">
        <f t="shared" si="47"/>
        <v>0</v>
      </c>
      <c r="EP40" s="53">
        <f t="shared" si="47"/>
        <v>40</v>
      </c>
      <c r="EQ40" s="53">
        <f t="shared" si="47"/>
        <v>1300</v>
      </c>
      <c r="ER40" s="53">
        <f t="shared" si="47"/>
        <v>400</v>
      </c>
      <c r="ES40" s="53">
        <f t="shared" si="47"/>
        <v>900</v>
      </c>
      <c r="ET40" s="53">
        <f t="shared" si="47"/>
        <v>230</v>
      </c>
      <c r="EU40" s="53">
        <f t="shared" si="47"/>
        <v>0</v>
      </c>
      <c r="EV40" s="53">
        <f t="shared" si="47"/>
        <v>45</v>
      </c>
      <c r="EW40" s="53">
        <f t="shared" si="47"/>
        <v>450</v>
      </c>
    </row>
    <row r="41" spans="7:10" ht="14.25" thickBot="1" thickTop="1">
      <c r="G41" s="54"/>
      <c r="H41" s="54"/>
      <c r="I41" s="54" t="s">
        <v>154</v>
      </c>
      <c r="J41" s="271">
        <v>754</v>
      </c>
    </row>
    <row r="42" spans="18:20" ht="13.5" thickTop="1">
      <c r="R42" s="45"/>
      <c r="S42" s="45"/>
      <c r="T42" s="45"/>
    </row>
    <row r="43" spans="12:14" ht="12.75">
      <c r="L43" s="80"/>
      <c r="M43" s="80"/>
      <c r="N43" s="80"/>
    </row>
    <row r="51" ht="12.75">
      <c r="K51" s="225"/>
    </row>
  </sheetData>
  <sheetProtection password="C979" sheet="1" objects="1" scenarios="1" selectLockedCells="1"/>
  <printOptions/>
  <pageMargins left="0.58" right="0.59" top="1" bottom="1" header="0.4921259845" footer="0.4921259845"/>
  <pageSetup fitToHeight="2" horizontalDpi="600" verticalDpi="600" orientation="landscape" paperSize="9" scale="6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V34"/>
  <sheetViews>
    <sheetView showGridLines="0" showZeros="0" workbookViewId="0" topLeftCell="A1">
      <selection activeCell="B21" sqref="B21"/>
    </sheetView>
  </sheetViews>
  <sheetFormatPr defaultColWidth="11.00390625" defaultRowHeight="12.75"/>
  <cols>
    <col min="1" max="1" width="3.125" style="1" customWidth="1"/>
    <col min="2" max="2" width="34.875" style="3" customWidth="1"/>
    <col min="3" max="3" width="10.75390625" style="3" customWidth="1"/>
    <col min="4" max="4" width="10.375" style="3" customWidth="1"/>
    <col min="5" max="28" width="10.125" style="3" customWidth="1"/>
    <col min="29" max="48" width="10.125" style="1" customWidth="1"/>
    <col min="49" max="50" width="9.75390625" style="1" customWidth="1"/>
    <col min="51" max="16384" width="7.75390625" style="1" customWidth="1"/>
  </cols>
  <sheetData>
    <row r="1" spans="2:10" ht="24" customHeight="1">
      <c r="B1" s="9" t="s">
        <v>10</v>
      </c>
      <c r="C1" s="9" t="str">
        <f>Finanzplan!C1</f>
        <v>Gemeinde Musterdorf</v>
      </c>
      <c r="D1" s="9"/>
      <c r="E1" s="9"/>
      <c r="F1" s="2" t="s">
        <v>40</v>
      </c>
      <c r="G1" s="2">
        <f>Finanzplan!G1</f>
        <v>1</v>
      </c>
      <c r="J1" s="9"/>
    </row>
    <row r="2" ht="12">
      <c r="C2" s="3" t="str">
        <f>Finanzplan!C2</f>
        <v>Abwasserentsorgung</v>
      </c>
    </row>
    <row r="4" spans="2:31" ht="12">
      <c r="B4" s="17" t="s">
        <v>48</v>
      </c>
      <c r="C4" s="1"/>
      <c r="D4" s="1"/>
      <c r="E4" s="1"/>
      <c r="F4" s="1"/>
      <c r="G4" s="1"/>
      <c r="H4" s="6"/>
      <c r="I4" s="6"/>
      <c r="J4" s="6"/>
      <c r="K4" s="19"/>
      <c r="L4" s="19"/>
      <c r="M4" s="19"/>
      <c r="N4" s="20"/>
      <c r="O4" s="20"/>
      <c r="P4" s="6"/>
      <c r="Q4" s="20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21"/>
      <c r="AD4" s="21"/>
      <c r="AE4" s="21"/>
    </row>
    <row r="5" spans="2:31" ht="34.5">
      <c r="B5" s="6" t="s">
        <v>5</v>
      </c>
      <c r="C5" s="3" t="s">
        <v>92</v>
      </c>
      <c r="D5" s="11" t="s">
        <v>49</v>
      </c>
      <c r="E5" s="11" t="s">
        <v>12</v>
      </c>
      <c r="F5" s="11" t="s">
        <v>128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21"/>
      <c r="AD5" s="21"/>
      <c r="AE5" s="21"/>
    </row>
    <row r="6" spans="2:3" ht="12">
      <c r="B6" s="6"/>
      <c r="C6" s="1"/>
    </row>
    <row r="7" spans="2:6" ht="12">
      <c r="B7" s="6" t="s">
        <v>168</v>
      </c>
      <c r="C7" s="1"/>
      <c r="D7" s="96"/>
      <c r="E7" s="97"/>
      <c r="F7" s="10">
        <f>E7*D7</f>
        <v>0</v>
      </c>
    </row>
    <row r="8" spans="2:6" ht="12">
      <c r="B8" s="6"/>
      <c r="C8" s="1"/>
      <c r="D8" s="98"/>
      <c r="E8" s="98"/>
      <c r="F8" s="10"/>
    </row>
    <row r="9" spans="2:6" ht="13.5">
      <c r="B9" s="3" t="s">
        <v>93</v>
      </c>
      <c r="C9" s="85">
        <v>1</v>
      </c>
      <c r="D9" s="279">
        <v>150000</v>
      </c>
      <c r="E9" s="96">
        <v>0.14</v>
      </c>
      <c r="F9" s="10">
        <f aca="true" t="shared" si="0" ref="F9:F14">$C9*E9*D9</f>
        <v>21000.000000000004</v>
      </c>
    </row>
    <row r="10" spans="2:6" ht="12">
      <c r="B10" s="3" t="s">
        <v>11</v>
      </c>
      <c r="C10" s="85">
        <v>2</v>
      </c>
      <c r="D10" s="279"/>
      <c r="E10" s="147">
        <f>$E$9</f>
        <v>0.14</v>
      </c>
      <c r="F10" s="10">
        <f t="shared" si="0"/>
        <v>0</v>
      </c>
    </row>
    <row r="11" spans="2:6" ht="12">
      <c r="B11" s="3" t="s">
        <v>11</v>
      </c>
      <c r="C11" s="86">
        <v>3</v>
      </c>
      <c r="D11" s="279"/>
      <c r="E11" s="147">
        <f>$E$9</f>
        <v>0.14</v>
      </c>
      <c r="F11" s="10">
        <f t="shared" si="0"/>
        <v>0</v>
      </c>
    </row>
    <row r="12" spans="2:6" ht="12">
      <c r="B12" s="3" t="s">
        <v>11</v>
      </c>
      <c r="C12" s="86">
        <v>4</v>
      </c>
      <c r="D12" s="279"/>
      <c r="E12" s="147">
        <f>$E$9</f>
        <v>0.14</v>
      </c>
      <c r="F12" s="10">
        <f t="shared" si="0"/>
        <v>0</v>
      </c>
    </row>
    <row r="13" spans="2:6" ht="12">
      <c r="B13" s="3" t="s">
        <v>11</v>
      </c>
      <c r="C13" s="86">
        <v>5</v>
      </c>
      <c r="D13" s="279"/>
      <c r="E13" s="147">
        <f>$E$9</f>
        <v>0.14</v>
      </c>
      <c r="F13" s="10">
        <f t="shared" si="0"/>
        <v>0</v>
      </c>
    </row>
    <row r="14" spans="2:8" ht="12">
      <c r="B14" s="3" t="s">
        <v>11</v>
      </c>
      <c r="C14" s="86">
        <v>6</v>
      </c>
      <c r="D14" s="279">
        <v>10000</v>
      </c>
      <c r="E14" s="147">
        <f>$E$9</f>
        <v>0.14</v>
      </c>
      <c r="F14" s="10">
        <f t="shared" si="0"/>
        <v>8400</v>
      </c>
      <c r="H14" s="1"/>
    </row>
    <row r="15" spans="2:8" ht="12.75" thickBot="1">
      <c r="B15" s="3" t="s">
        <v>13</v>
      </c>
      <c r="F15" s="67">
        <f>SUM(F7:F14)</f>
        <v>29400.000000000004</v>
      </c>
      <c r="H15" s="1"/>
    </row>
    <row r="16" ht="12.75" thickTop="1">
      <c r="H16" s="1"/>
    </row>
    <row r="17" ht="12">
      <c r="H17" s="1"/>
    </row>
    <row r="18" ht="12">
      <c r="B18" s="18" t="s">
        <v>94</v>
      </c>
    </row>
    <row r="19" spans="2:6" ht="34.5">
      <c r="B19" s="12" t="s">
        <v>169</v>
      </c>
      <c r="C19" s="13"/>
      <c r="D19" s="13"/>
      <c r="E19" s="13" t="s">
        <v>170</v>
      </c>
      <c r="F19" s="13" t="s">
        <v>100</v>
      </c>
    </row>
    <row r="21" spans="2:6" ht="12.75" thickBot="1">
      <c r="B21" s="279">
        <v>35500</v>
      </c>
      <c r="C21" s="230"/>
      <c r="D21" s="10"/>
      <c r="E21" s="97">
        <v>2.2</v>
      </c>
      <c r="F21" s="68">
        <f>B21*E21</f>
        <v>78100</v>
      </c>
    </row>
    <row r="22" ht="12.75" thickTop="1"/>
    <row r="24" spans="2:7" ht="12">
      <c r="B24" s="4"/>
      <c r="E24" s="148" t="s">
        <v>17</v>
      </c>
      <c r="G24" s="16"/>
    </row>
    <row r="25" spans="2:48" ht="12">
      <c r="B25" s="5"/>
      <c r="C25" s="6"/>
      <c r="D25" s="15"/>
      <c r="E25" s="14">
        <f>Finanzplan!H9</f>
        <v>2008</v>
      </c>
      <c r="F25" s="14">
        <f>Finanzplan!I9</f>
        <v>2009</v>
      </c>
      <c r="G25" s="14">
        <f>Finanzplan!J9</f>
        <v>2010</v>
      </c>
      <c r="H25" s="14">
        <f>Finanzplan!K9</f>
        <v>2011</v>
      </c>
      <c r="I25" s="14">
        <f>Finanzplan!L9</f>
        <v>2012</v>
      </c>
      <c r="J25" s="14">
        <f>Finanzplan!M9</f>
        <v>2013</v>
      </c>
      <c r="K25" s="14">
        <f>Finanzplan!N9</f>
        <v>2014</v>
      </c>
      <c r="L25" s="14">
        <f>Finanzplan!O9</f>
        <v>2015</v>
      </c>
      <c r="M25" s="14">
        <f>Finanzplan!P9</f>
        <v>2016</v>
      </c>
      <c r="N25" s="14">
        <f>Finanzplan!Q9</f>
        <v>2017</v>
      </c>
      <c r="O25" s="14">
        <f>Finanzplan!R9</f>
        <v>2018</v>
      </c>
      <c r="P25" s="14">
        <f>Finanzplan!S9</f>
        <v>2019</v>
      </c>
      <c r="Q25" s="14">
        <f>Finanzplan!T9</f>
        <v>2020</v>
      </c>
      <c r="R25" s="14">
        <f>Finanzplan!U9</f>
        <v>2021</v>
      </c>
      <c r="S25" s="14">
        <f>Finanzplan!V9</f>
        <v>2022</v>
      </c>
      <c r="T25" s="14">
        <f>Finanzplan!W9</f>
        <v>2023</v>
      </c>
      <c r="U25" s="14">
        <f>Finanzplan!X9</f>
        <v>2024</v>
      </c>
      <c r="V25" s="14">
        <f>Finanzplan!Y9</f>
        <v>2025</v>
      </c>
      <c r="W25" s="14">
        <f>Finanzplan!Z9</f>
        <v>2026</v>
      </c>
      <c r="X25" s="14">
        <f>Finanzplan!AA9</f>
        <v>2027</v>
      </c>
      <c r="Y25" s="14">
        <f>Finanzplan!AB9</f>
        <v>2028</v>
      </c>
      <c r="Z25" s="14">
        <f>Finanzplan!AC9</f>
        <v>2029</v>
      </c>
      <c r="AA25" s="14">
        <f>Finanzplan!AD9</f>
        <v>2030</v>
      </c>
      <c r="AB25" s="14">
        <f>Finanzplan!AE9</f>
        <v>2031</v>
      </c>
      <c r="AC25" s="14">
        <f>Finanzplan!AF9</f>
        <v>2032</v>
      </c>
      <c r="AD25" s="14">
        <f>Finanzplan!AG9</f>
        <v>2033</v>
      </c>
      <c r="AE25" s="14">
        <f>Finanzplan!AH9</f>
        <v>2034</v>
      </c>
      <c r="AF25" s="14">
        <f>Finanzplan!AI9</f>
        <v>2035</v>
      </c>
      <c r="AG25" s="14">
        <f>Finanzplan!AJ9</f>
        <v>2036</v>
      </c>
      <c r="AH25" s="14">
        <f>Finanzplan!AK9</f>
        <v>2037</v>
      </c>
      <c r="AI25" s="14">
        <f>Finanzplan!AL9</f>
        <v>2038</v>
      </c>
      <c r="AJ25" s="14">
        <f>Finanzplan!AM9</f>
        <v>2039</v>
      </c>
      <c r="AK25" s="14">
        <f>Finanzplan!AN9</f>
        <v>2040</v>
      </c>
      <c r="AL25" s="14">
        <f>Finanzplan!AO9</f>
        <v>2041</v>
      </c>
      <c r="AM25" s="14">
        <f>Finanzplan!AP9</f>
        <v>2042</v>
      </c>
      <c r="AN25" s="14">
        <f>Finanzplan!AQ9</f>
        <v>2043</v>
      </c>
      <c r="AO25" s="14">
        <f>Finanzplan!AR9</f>
        <v>2044</v>
      </c>
      <c r="AP25" s="14">
        <f>Finanzplan!AS9</f>
        <v>2045</v>
      </c>
      <c r="AQ25" s="14">
        <f>Finanzplan!AT9</f>
        <v>2046</v>
      </c>
      <c r="AR25" s="14">
        <f>Finanzplan!AU9</f>
        <v>2047</v>
      </c>
      <c r="AS25" s="14">
        <f>Finanzplan!AV9</f>
        <v>2048</v>
      </c>
      <c r="AT25" s="14">
        <f>Finanzplan!AW9</f>
        <v>2049</v>
      </c>
      <c r="AU25" s="14">
        <f>Finanzplan!AX9</f>
        <v>2050</v>
      </c>
      <c r="AV25" s="14">
        <f>Finanzplan!AY9</f>
        <v>2051</v>
      </c>
    </row>
    <row r="26" spans="2:48" ht="12">
      <c r="B26" s="6"/>
      <c r="C26" s="6"/>
      <c r="D26" s="6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</row>
    <row r="27" spans="2:48" ht="12">
      <c r="B27" s="6" t="s">
        <v>16</v>
      </c>
      <c r="C27" s="6" t="s">
        <v>14</v>
      </c>
      <c r="E27" s="99">
        <v>1</v>
      </c>
      <c r="F27" s="99">
        <v>1</v>
      </c>
      <c r="G27" s="99">
        <v>1</v>
      </c>
      <c r="H27" s="99">
        <v>1</v>
      </c>
      <c r="I27" s="99">
        <v>1</v>
      </c>
      <c r="J27" s="99">
        <v>1</v>
      </c>
      <c r="K27" s="99">
        <v>1</v>
      </c>
      <c r="L27" s="99">
        <v>1</v>
      </c>
      <c r="M27" s="99">
        <v>1</v>
      </c>
      <c r="N27" s="99">
        <v>1</v>
      </c>
      <c r="O27" s="99">
        <v>1</v>
      </c>
      <c r="P27" s="99">
        <v>1</v>
      </c>
      <c r="Q27" s="99">
        <v>1</v>
      </c>
      <c r="R27" s="99">
        <v>1</v>
      </c>
      <c r="S27" s="99">
        <v>1</v>
      </c>
      <c r="T27" s="99">
        <v>1</v>
      </c>
      <c r="U27" s="99">
        <v>1</v>
      </c>
      <c r="V27" s="99">
        <v>1</v>
      </c>
      <c r="W27" s="99">
        <v>1</v>
      </c>
      <c r="X27" s="99">
        <v>1</v>
      </c>
      <c r="Y27" s="99">
        <v>1</v>
      </c>
      <c r="Z27" s="99">
        <v>1</v>
      </c>
      <c r="AA27" s="99">
        <v>1</v>
      </c>
      <c r="AB27" s="99">
        <v>1</v>
      </c>
      <c r="AC27" s="99">
        <v>1</v>
      </c>
      <c r="AD27" s="99">
        <v>1</v>
      </c>
      <c r="AE27" s="99">
        <v>1</v>
      </c>
      <c r="AF27" s="99">
        <v>1</v>
      </c>
      <c r="AG27" s="99">
        <v>1</v>
      </c>
      <c r="AH27" s="99">
        <v>1</v>
      </c>
      <c r="AI27" s="99">
        <v>1</v>
      </c>
      <c r="AJ27" s="99">
        <v>1</v>
      </c>
      <c r="AK27" s="99">
        <v>1</v>
      </c>
      <c r="AL27" s="99">
        <v>1</v>
      </c>
      <c r="AM27" s="99">
        <v>1</v>
      </c>
      <c r="AN27" s="99">
        <v>1</v>
      </c>
      <c r="AO27" s="99">
        <v>1</v>
      </c>
      <c r="AP27" s="99">
        <v>1</v>
      </c>
      <c r="AQ27" s="99">
        <v>1</v>
      </c>
      <c r="AR27" s="99">
        <v>1</v>
      </c>
      <c r="AS27" s="99">
        <v>1</v>
      </c>
      <c r="AT27" s="99">
        <v>1</v>
      </c>
      <c r="AU27" s="99">
        <v>1</v>
      </c>
      <c r="AV27" s="99">
        <v>1</v>
      </c>
    </row>
    <row r="28" spans="2:48" ht="12">
      <c r="B28" s="6"/>
      <c r="C28" s="6" t="s">
        <v>15</v>
      </c>
      <c r="E28" s="99">
        <v>1</v>
      </c>
      <c r="F28" s="99">
        <v>1</v>
      </c>
      <c r="G28" s="99">
        <v>1</v>
      </c>
      <c r="H28" s="99">
        <v>1</v>
      </c>
      <c r="I28" s="99">
        <v>1</v>
      </c>
      <c r="J28" s="99">
        <v>1</v>
      </c>
      <c r="K28" s="99">
        <v>1</v>
      </c>
      <c r="L28" s="99">
        <v>1</v>
      </c>
      <c r="M28" s="99">
        <v>1</v>
      </c>
      <c r="N28" s="99">
        <v>1</v>
      </c>
      <c r="O28" s="99">
        <v>1</v>
      </c>
      <c r="P28" s="99">
        <v>1</v>
      </c>
      <c r="Q28" s="99">
        <v>1</v>
      </c>
      <c r="R28" s="99">
        <v>1</v>
      </c>
      <c r="S28" s="99">
        <v>1</v>
      </c>
      <c r="T28" s="99">
        <v>1</v>
      </c>
      <c r="U28" s="99">
        <v>1</v>
      </c>
      <c r="V28" s="99">
        <v>1</v>
      </c>
      <c r="W28" s="99">
        <v>1</v>
      </c>
      <c r="X28" s="99">
        <v>1</v>
      </c>
      <c r="Y28" s="99">
        <v>1</v>
      </c>
      <c r="Z28" s="99">
        <v>1</v>
      </c>
      <c r="AA28" s="99">
        <v>1</v>
      </c>
      <c r="AB28" s="99">
        <v>1</v>
      </c>
      <c r="AC28" s="99">
        <v>1</v>
      </c>
      <c r="AD28" s="99">
        <v>1</v>
      </c>
      <c r="AE28" s="99">
        <v>1</v>
      </c>
      <c r="AF28" s="99">
        <v>1</v>
      </c>
      <c r="AG28" s="99">
        <v>1</v>
      </c>
      <c r="AH28" s="99">
        <v>1</v>
      </c>
      <c r="AI28" s="99">
        <v>1</v>
      </c>
      <c r="AJ28" s="99">
        <v>1</v>
      </c>
      <c r="AK28" s="99">
        <v>1</v>
      </c>
      <c r="AL28" s="99">
        <v>1</v>
      </c>
      <c r="AM28" s="99">
        <v>1</v>
      </c>
      <c r="AN28" s="99">
        <v>1</v>
      </c>
      <c r="AO28" s="99">
        <v>1</v>
      </c>
      <c r="AP28" s="99">
        <v>1</v>
      </c>
      <c r="AQ28" s="99">
        <v>1</v>
      </c>
      <c r="AR28" s="99">
        <v>1</v>
      </c>
      <c r="AS28" s="99">
        <v>1</v>
      </c>
      <c r="AT28" s="99">
        <v>1</v>
      </c>
      <c r="AU28" s="99">
        <v>1</v>
      </c>
      <c r="AV28" s="99">
        <v>1</v>
      </c>
    </row>
    <row r="29" spans="2:48" ht="12">
      <c r="B29" s="6" t="s">
        <v>28</v>
      </c>
      <c r="C29" s="51" t="s">
        <v>29</v>
      </c>
      <c r="E29" s="100">
        <v>15000</v>
      </c>
      <c r="F29" s="100">
        <v>15000</v>
      </c>
      <c r="G29" s="100">
        <v>15000</v>
      </c>
      <c r="H29" s="100">
        <v>15000</v>
      </c>
      <c r="I29" s="100">
        <v>15000</v>
      </c>
      <c r="J29" s="100">
        <v>15000</v>
      </c>
      <c r="K29" s="100">
        <v>15000</v>
      </c>
      <c r="L29" s="100">
        <v>15000</v>
      </c>
      <c r="M29" s="100">
        <v>15000</v>
      </c>
      <c r="N29" s="100">
        <v>15000</v>
      </c>
      <c r="O29" s="100">
        <v>15000</v>
      </c>
      <c r="P29" s="100">
        <v>15000</v>
      </c>
      <c r="Q29" s="100">
        <v>15000</v>
      </c>
      <c r="R29" s="100">
        <v>15000</v>
      </c>
      <c r="S29" s="100">
        <v>15000</v>
      </c>
      <c r="T29" s="100">
        <v>15000</v>
      </c>
      <c r="U29" s="100">
        <v>15000</v>
      </c>
      <c r="V29" s="100">
        <v>15000</v>
      </c>
      <c r="W29" s="100">
        <v>15000</v>
      </c>
      <c r="X29" s="100">
        <v>15000</v>
      </c>
      <c r="Y29" s="100">
        <v>15000</v>
      </c>
      <c r="Z29" s="100">
        <v>15000</v>
      </c>
      <c r="AA29" s="100">
        <v>15000</v>
      </c>
      <c r="AB29" s="100">
        <v>15000</v>
      </c>
      <c r="AC29" s="100">
        <v>15000</v>
      </c>
      <c r="AD29" s="100">
        <v>15000</v>
      </c>
      <c r="AE29" s="100">
        <v>15000</v>
      </c>
      <c r="AF29" s="100">
        <v>15000</v>
      </c>
      <c r="AG29" s="100">
        <v>15000</v>
      </c>
      <c r="AH29" s="100">
        <v>15000</v>
      </c>
      <c r="AI29" s="100">
        <v>15000</v>
      </c>
      <c r="AJ29" s="100">
        <v>15000</v>
      </c>
      <c r="AK29" s="100">
        <v>15000</v>
      </c>
      <c r="AL29" s="100">
        <v>15000</v>
      </c>
      <c r="AM29" s="100">
        <v>15000</v>
      </c>
      <c r="AN29" s="100">
        <v>15000</v>
      </c>
      <c r="AO29" s="100">
        <v>15000</v>
      </c>
      <c r="AP29" s="100">
        <v>15000</v>
      </c>
      <c r="AQ29" s="100">
        <v>15000</v>
      </c>
      <c r="AR29" s="100">
        <v>15000</v>
      </c>
      <c r="AS29" s="100">
        <v>15000</v>
      </c>
      <c r="AT29" s="100">
        <v>15000</v>
      </c>
      <c r="AU29" s="100">
        <v>15000</v>
      </c>
      <c r="AV29" s="100">
        <v>15000</v>
      </c>
    </row>
    <row r="30" spans="2:48" s="21" customFormat="1" ht="12">
      <c r="B30" s="6"/>
      <c r="C30" s="6"/>
      <c r="D30" s="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</row>
    <row r="31" spans="2:48" ht="12">
      <c r="B31" s="6" t="s">
        <v>95</v>
      </c>
      <c r="C31" s="6" t="s">
        <v>14</v>
      </c>
      <c r="E31" s="149">
        <f aca="true" t="shared" si="1" ref="E31:AV31">$F15*E27</f>
        <v>29400.000000000004</v>
      </c>
      <c r="F31" s="150">
        <f t="shared" si="1"/>
        <v>29400.000000000004</v>
      </c>
      <c r="G31" s="150">
        <f t="shared" si="1"/>
        <v>29400.000000000004</v>
      </c>
      <c r="H31" s="150">
        <f t="shared" si="1"/>
        <v>29400.000000000004</v>
      </c>
      <c r="I31" s="150">
        <f t="shared" si="1"/>
        <v>29400.000000000004</v>
      </c>
      <c r="J31" s="150">
        <f t="shared" si="1"/>
        <v>29400.000000000004</v>
      </c>
      <c r="K31" s="150">
        <f t="shared" si="1"/>
        <v>29400.000000000004</v>
      </c>
      <c r="L31" s="150">
        <f t="shared" si="1"/>
        <v>29400.000000000004</v>
      </c>
      <c r="M31" s="150">
        <f t="shared" si="1"/>
        <v>29400.000000000004</v>
      </c>
      <c r="N31" s="150">
        <f t="shared" si="1"/>
        <v>29400.000000000004</v>
      </c>
      <c r="O31" s="150">
        <f t="shared" si="1"/>
        <v>29400.000000000004</v>
      </c>
      <c r="P31" s="150">
        <f t="shared" si="1"/>
        <v>29400.000000000004</v>
      </c>
      <c r="Q31" s="150">
        <f t="shared" si="1"/>
        <v>29400.000000000004</v>
      </c>
      <c r="R31" s="150">
        <f t="shared" si="1"/>
        <v>29400.000000000004</v>
      </c>
      <c r="S31" s="150">
        <f t="shared" si="1"/>
        <v>29400.000000000004</v>
      </c>
      <c r="T31" s="150">
        <f t="shared" si="1"/>
        <v>29400.000000000004</v>
      </c>
      <c r="U31" s="150">
        <f t="shared" si="1"/>
        <v>29400.000000000004</v>
      </c>
      <c r="V31" s="150">
        <f t="shared" si="1"/>
        <v>29400.000000000004</v>
      </c>
      <c r="W31" s="150">
        <f t="shared" si="1"/>
        <v>29400.000000000004</v>
      </c>
      <c r="X31" s="150">
        <f t="shared" si="1"/>
        <v>29400.000000000004</v>
      </c>
      <c r="Y31" s="150">
        <f t="shared" si="1"/>
        <v>29400.000000000004</v>
      </c>
      <c r="Z31" s="150">
        <f t="shared" si="1"/>
        <v>29400.000000000004</v>
      </c>
      <c r="AA31" s="150">
        <f t="shared" si="1"/>
        <v>29400.000000000004</v>
      </c>
      <c r="AB31" s="150">
        <f t="shared" si="1"/>
        <v>29400.000000000004</v>
      </c>
      <c r="AC31" s="150">
        <f t="shared" si="1"/>
        <v>29400.000000000004</v>
      </c>
      <c r="AD31" s="150">
        <f t="shared" si="1"/>
        <v>29400.000000000004</v>
      </c>
      <c r="AE31" s="150">
        <f t="shared" si="1"/>
        <v>29400.000000000004</v>
      </c>
      <c r="AF31" s="150">
        <f t="shared" si="1"/>
        <v>29400.000000000004</v>
      </c>
      <c r="AG31" s="150">
        <f t="shared" si="1"/>
        <v>29400.000000000004</v>
      </c>
      <c r="AH31" s="150">
        <f t="shared" si="1"/>
        <v>29400.000000000004</v>
      </c>
      <c r="AI31" s="150">
        <f t="shared" si="1"/>
        <v>29400.000000000004</v>
      </c>
      <c r="AJ31" s="150">
        <f t="shared" si="1"/>
        <v>29400.000000000004</v>
      </c>
      <c r="AK31" s="150">
        <f t="shared" si="1"/>
        <v>29400.000000000004</v>
      </c>
      <c r="AL31" s="150">
        <f t="shared" si="1"/>
        <v>29400.000000000004</v>
      </c>
      <c r="AM31" s="150">
        <f t="shared" si="1"/>
        <v>29400.000000000004</v>
      </c>
      <c r="AN31" s="150">
        <f t="shared" si="1"/>
        <v>29400.000000000004</v>
      </c>
      <c r="AO31" s="150">
        <f t="shared" si="1"/>
        <v>29400.000000000004</v>
      </c>
      <c r="AP31" s="150">
        <f t="shared" si="1"/>
        <v>29400.000000000004</v>
      </c>
      <c r="AQ31" s="150">
        <f t="shared" si="1"/>
        <v>29400.000000000004</v>
      </c>
      <c r="AR31" s="150">
        <f t="shared" si="1"/>
        <v>29400.000000000004</v>
      </c>
      <c r="AS31" s="150">
        <f t="shared" si="1"/>
        <v>29400.000000000004</v>
      </c>
      <c r="AT31" s="150">
        <f t="shared" si="1"/>
        <v>29400.000000000004</v>
      </c>
      <c r="AU31" s="150">
        <f t="shared" si="1"/>
        <v>29400.000000000004</v>
      </c>
      <c r="AV31" s="154">
        <f t="shared" si="1"/>
        <v>29400.000000000004</v>
      </c>
    </row>
    <row r="32" spans="2:48" ht="12">
      <c r="B32" s="6" t="s">
        <v>96</v>
      </c>
      <c r="C32" s="6" t="s">
        <v>15</v>
      </c>
      <c r="E32" s="149">
        <f aca="true" t="shared" si="2" ref="E32:AV32">$F21*E28</f>
        <v>78100</v>
      </c>
      <c r="F32" s="150">
        <f t="shared" si="2"/>
        <v>78100</v>
      </c>
      <c r="G32" s="150">
        <f t="shared" si="2"/>
        <v>78100</v>
      </c>
      <c r="H32" s="150">
        <f t="shared" si="2"/>
        <v>78100</v>
      </c>
      <c r="I32" s="150">
        <f t="shared" si="2"/>
        <v>78100</v>
      </c>
      <c r="J32" s="150">
        <f t="shared" si="2"/>
        <v>78100</v>
      </c>
      <c r="K32" s="150">
        <f t="shared" si="2"/>
        <v>78100</v>
      </c>
      <c r="L32" s="150">
        <f t="shared" si="2"/>
        <v>78100</v>
      </c>
      <c r="M32" s="150">
        <f t="shared" si="2"/>
        <v>78100</v>
      </c>
      <c r="N32" s="150">
        <f t="shared" si="2"/>
        <v>78100</v>
      </c>
      <c r="O32" s="150">
        <f t="shared" si="2"/>
        <v>78100</v>
      </c>
      <c r="P32" s="150">
        <f t="shared" si="2"/>
        <v>78100</v>
      </c>
      <c r="Q32" s="150">
        <f t="shared" si="2"/>
        <v>78100</v>
      </c>
      <c r="R32" s="150">
        <f t="shared" si="2"/>
        <v>78100</v>
      </c>
      <c r="S32" s="150">
        <f t="shared" si="2"/>
        <v>78100</v>
      </c>
      <c r="T32" s="150">
        <f t="shared" si="2"/>
        <v>78100</v>
      </c>
      <c r="U32" s="150">
        <f t="shared" si="2"/>
        <v>78100</v>
      </c>
      <c r="V32" s="150">
        <f t="shared" si="2"/>
        <v>78100</v>
      </c>
      <c r="W32" s="150">
        <f t="shared" si="2"/>
        <v>78100</v>
      </c>
      <c r="X32" s="150">
        <f t="shared" si="2"/>
        <v>78100</v>
      </c>
      <c r="Y32" s="150">
        <f t="shared" si="2"/>
        <v>78100</v>
      </c>
      <c r="Z32" s="150">
        <f t="shared" si="2"/>
        <v>78100</v>
      </c>
      <c r="AA32" s="150">
        <f t="shared" si="2"/>
        <v>78100</v>
      </c>
      <c r="AB32" s="150">
        <f t="shared" si="2"/>
        <v>78100</v>
      </c>
      <c r="AC32" s="150">
        <f t="shared" si="2"/>
        <v>78100</v>
      </c>
      <c r="AD32" s="150">
        <f t="shared" si="2"/>
        <v>78100</v>
      </c>
      <c r="AE32" s="150">
        <f t="shared" si="2"/>
        <v>78100</v>
      </c>
      <c r="AF32" s="150">
        <f t="shared" si="2"/>
        <v>78100</v>
      </c>
      <c r="AG32" s="150">
        <f t="shared" si="2"/>
        <v>78100</v>
      </c>
      <c r="AH32" s="150">
        <f t="shared" si="2"/>
        <v>78100</v>
      </c>
      <c r="AI32" s="150">
        <f t="shared" si="2"/>
        <v>78100</v>
      </c>
      <c r="AJ32" s="150">
        <f t="shared" si="2"/>
        <v>78100</v>
      </c>
      <c r="AK32" s="150">
        <f t="shared" si="2"/>
        <v>78100</v>
      </c>
      <c r="AL32" s="150">
        <f t="shared" si="2"/>
        <v>78100</v>
      </c>
      <c r="AM32" s="150">
        <f t="shared" si="2"/>
        <v>78100</v>
      </c>
      <c r="AN32" s="150">
        <f t="shared" si="2"/>
        <v>78100</v>
      </c>
      <c r="AO32" s="150">
        <f t="shared" si="2"/>
        <v>78100</v>
      </c>
      <c r="AP32" s="150">
        <f t="shared" si="2"/>
        <v>78100</v>
      </c>
      <c r="AQ32" s="150">
        <f t="shared" si="2"/>
        <v>78100</v>
      </c>
      <c r="AR32" s="150">
        <f t="shared" si="2"/>
        <v>78100</v>
      </c>
      <c r="AS32" s="150">
        <f t="shared" si="2"/>
        <v>78100</v>
      </c>
      <c r="AT32" s="150">
        <f t="shared" si="2"/>
        <v>78100</v>
      </c>
      <c r="AU32" s="150">
        <f t="shared" si="2"/>
        <v>78100</v>
      </c>
      <c r="AV32" s="154">
        <f t="shared" si="2"/>
        <v>78100</v>
      </c>
    </row>
    <row r="33" spans="2:48" ht="12.75" thickBot="1">
      <c r="B33" s="6"/>
      <c r="C33" s="69" t="s">
        <v>13</v>
      </c>
      <c r="E33" s="151">
        <f>SUM(E29:E32)</f>
        <v>122500</v>
      </c>
      <c r="F33" s="152">
        <f aca="true" t="shared" si="3" ref="F33:S33">SUM(F29:F32)</f>
        <v>122500</v>
      </c>
      <c r="G33" s="152">
        <f t="shared" si="3"/>
        <v>122500</v>
      </c>
      <c r="H33" s="152">
        <f t="shared" si="3"/>
        <v>122500</v>
      </c>
      <c r="I33" s="152">
        <f t="shared" si="3"/>
        <v>122500</v>
      </c>
      <c r="J33" s="152">
        <f t="shared" si="3"/>
        <v>122500</v>
      </c>
      <c r="K33" s="152">
        <f t="shared" si="3"/>
        <v>122500</v>
      </c>
      <c r="L33" s="152">
        <f t="shared" si="3"/>
        <v>122500</v>
      </c>
      <c r="M33" s="152">
        <f t="shared" si="3"/>
        <v>122500</v>
      </c>
      <c r="N33" s="152">
        <f t="shared" si="3"/>
        <v>122500</v>
      </c>
      <c r="O33" s="152">
        <f t="shared" si="3"/>
        <v>122500</v>
      </c>
      <c r="P33" s="152">
        <f t="shared" si="3"/>
        <v>122500</v>
      </c>
      <c r="Q33" s="152">
        <f t="shared" si="3"/>
        <v>122500</v>
      </c>
      <c r="R33" s="152">
        <f t="shared" si="3"/>
        <v>122500</v>
      </c>
      <c r="S33" s="152">
        <f t="shared" si="3"/>
        <v>122500</v>
      </c>
      <c r="T33" s="152">
        <f aca="true" t="shared" si="4" ref="T33:Y33">SUM(T29:T32)</f>
        <v>122500</v>
      </c>
      <c r="U33" s="152">
        <f t="shared" si="4"/>
        <v>122500</v>
      </c>
      <c r="V33" s="152">
        <f t="shared" si="4"/>
        <v>122500</v>
      </c>
      <c r="W33" s="152">
        <f t="shared" si="4"/>
        <v>122500</v>
      </c>
      <c r="X33" s="152">
        <f t="shared" si="4"/>
        <v>122500</v>
      </c>
      <c r="Y33" s="152">
        <f t="shared" si="4"/>
        <v>122500</v>
      </c>
      <c r="Z33" s="152">
        <f aca="true" t="shared" si="5" ref="Z33:AN33">SUM(Z29:Z32)</f>
        <v>122500</v>
      </c>
      <c r="AA33" s="152">
        <f t="shared" si="5"/>
        <v>122500</v>
      </c>
      <c r="AB33" s="152">
        <f t="shared" si="5"/>
        <v>122500</v>
      </c>
      <c r="AC33" s="152">
        <f t="shared" si="5"/>
        <v>122500</v>
      </c>
      <c r="AD33" s="152">
        <f t="shared" si="5"/>
        <v>122500</v>
      </c>
      <c r="AE33" s="152">
        <f t="shared" si="5"/>
        <v>122500</v>
      </c>
      <c r="AF33" s="152">
        <f t="shared" si="5"/>
        <v>122500</v>
      </c>
      <c r="AG33" s="152">
        <f t="shared" si="5"/>
        <v>122500</v>
      </c>
      <c r="AH33" s="152">
        <f t="shared" si="5"/>
        <v>122500</v>
      </c>
      <c r="AI33" s="152">
        <f t="shared" si="5"/>
        <v>122500</v>
      </c>
      <c r="AJ33" s="152">
        <f t="shared" si="5"/>
        <v>122500</v>
      </c>
      <c r="AK33" s="152">
        <f t="shared" si="5"/>
        <v>122500</v>
      </c>
      <c r="AL33" s="152">
        <f t="shared" si="5"/>
        <v>122500</v>
      </c>
      <c r="AM33" s="152">
        <f t="shared" si="5"/>
        <v>122500</v>
      </c>
      <c r="AN33" s="152">
        <f t="shared" si="5"/>
        <v>122500</v>
      </c>
      <c r="AO33" s="152">
        <f aca="true" t="shared" si="6" ref="AO33:AV33">SUM(AO29:AO32)</f>
        <v>122500</v>
      </c>
      <c r="AP33" s="152">
        <f t="shared" si="6"/>
        <v>122500</v>
      </c>
      <c r="AQ33" s="152">
        <f t="shared" si="6"/>
        <v>122500</v>
      </c>
      <c r="AR33" s="152">
        <f t="shared" si="6"/>
        <v>122500</v>
      </c>
      <c r="AS33" s="152">
        <f t="shared" si="6"/>
        <v>122500</v>
      </c>
      <c r="AT33" s="152">
        <f t="shared" si="6"/>
        <v>122500</v>
      </c>
      <c r="AU33" s="152">
        <f t="shared" si="6"/>
        <v>122500</v>
      </c>
      <c r="AV33" s="155">
        <f t="shared" si="6"/>
        <v>122500</v>
      </c>
    </row>
    <row r="34" spans="2:48" ht="12.75" thickTop="1">
      <c r="B34" s="6"/>
      <c r="C34" s="1"/>
      <c r="D34" s="6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</row>
  </sheetData>
  <sheetProtection password="C979" sheet="1" objects="1" scenarios="1" selectLockedCells="1"/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2"/>
  <sheetViews>
    <sheetView showGridLines="0" showZeros="0" zoomScale="85" zoomScaleNormal="85" workbookViewId="0" topLeftCell="A1">
      <selection activeCell="V8" sqref="V8"/>
    </sheetView>
  </sheetViews>
  <sheetFormatPr defaultColWidth="11.00390625" defaultRowHeight="12.75"/>
  <cols>
    <col min="1" max="1" width="2.75390625" style="0" customWidth="1"/>
    <col min="2" max="2" width="29.875" style="0" customWidth="1"/>
    <col min="3" max="3" width="3.375" style="0" customWidth="1"/>
    <col min="4" max="14" width="6.75390625" style="0" customWidth="1"/>
    <col min="15" max="15" width="3.25390625" style="0" customWidth="1"/>
    <col min="16" max="16" width="6.75390625" style="0" customWidth="1"/>
    <col min="17" max="17" width="2.875" style="0" customWidth="1"/>
    <col min="18" max="25" width="3.00390625" style="0" customWidth="1"/>
  </cols>
  <sheetData>
    <row r="1" spans="2:12" ht="20.25">
      <c r="B1" s="64" t="s">
        <v>43</v>
      </c>
      <c r="D1" s="66" t="str">
        <f>Finanzplan!C1</f>
        <v>Gemeinde Musterdorf</v>
      </c>
      <c r="E1" s="66"/>
      <c r="F1" s="66"/>
      <c r="G1" s="66"/>
      <c r="H1" s="66"/>
      <c r="I1" s="66" t="str">
        <f>Finanzplan!F1</f>
        <v>Szenario:</v>
      </c>
      <c r="K1" s="66">
        <f>Finanzplan!G1</f>
        <v>1</v>
      </c>
      <c r="L1" s="66"/>
    </row>
    <row r="2" ht="16.5" customHeight="1">
      <c r="D2" s="66" t="str">
        <f>Finanzplan!C2</f>
        <v>Abwasserentsorgung</v>
      </c>
    </row>
    <row r="36" ht="15" customHeight="1"/>
    <row r="37" spans="2:12" ht="12.7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 ht="12.7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2:12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2:12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 ht="12.7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5" ht="12.75">
      <c r="B42" s="22"/>
      <c r="C42" s="22"/>
      <c r="D42" s="22"/>
      <c r="E42" s="22"/>
    </row>
  </sheetData>
  <sheetProtection password="C979" sheet="1" objects="1" scenarios="1" selectLockedCells="1"/>
  <printOptions/>
  <pageMargins left="0.75" right="0.75" top="1" bottom="1" header="0.4921259845" footer="0.4921259845"/>
  <pageSetup fitToHeight="2"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1" sqref="A1"/>
    </sheetView>
  </sheetViews>
  <sheetFormatPr defaultColWidth="11.00390625" defaultRowHeight="12.75"/>
  <cols>
    <col min="1" max="1" width="38.75390625" style="0" customWidth="1"/>
    <col min="2" max="2" width="14.875" style="0" customWidth="1"/>
    <col min="3" max="3" width="10.875" style="0" customWidth="1"/>
    <col min="4" max="4" width="17.875" style="0" customWidth="1"/>
  </cols>
  <sheetData>
    <row r="1" ht="18">
      <c r="A1" s="211" t="s">
        <v>102</v>
      </c>
    </row>
    <row r="3" spans="2:4" s="44" customFormat="1" ht="29.25" customHeight="1">
      <c r="B3" s="44" t="s">
        <v>103</v>
      </c>
      <c r="C3" s="213" t="s">
        <v>104</v>
      </c>
      <c r="D3" s="212" t="s">
        <v>105</v>
      </c>
    </row>
    <row r="4" spans="1:3" ht="14.25" customHeight="1">
      <c r="A4" s="210" t="s">
        <v>106</v>
      </c>
      <c r="C4" s="210"/>
    </row>
    <row r="5" spans="1:4" ht="14.25" customHeight="1">
      <c r="A5" t="s">
        <v>71</v>
      </c>
      <c r="B5" s="209" t="s">
        <v>107</v>
      </c>
      <c r="C5" s="214">
        <v>70</v>
      </c>
      <c r="D5" s="41">
        <v>0.0143</v>
      </c>
    </row>
    <row r="6" spans="1:4" ht="14.25" customHeight="1">
      <c r="A6" t="s">
        <v>72</v>
      </c>
      <c r="B6" s="209" t="s">
        <v>108</v>
      </c>
      <c r="C6" s="214">
        <v>40</v>
      </c>
      <c r="D6" s="41">
        <v>0.025</v>
      </c>
    </row>
    <row r="7" spans="1:3" ht="14.25" customHeight="1">
      <c r="A7" s="210" t="s">
        <v>120</v>
      </c>
      <c r="B7" s="209"/>
      <c r="C7" s="214"/>
    </row>
    <row r="8" spans="1:4" ht="14.25" customHeight="1">
      <c r="A8" t="s">
        <v>73</v>
      </c>
      <c r="B8" s="209" t="s">
        <v>109</v>
      </c>
      <c r="C8" s="214">
        <v>50</v>
      </c>
      <c r="D8" s="41">
        <v>0.02</v>
      </c>
    </row>
    <row r="9" spans="1:4" ht="14.25" customHeight="1">
      <c r="A9" t="s">
        <v>74</v>
      </c>
      <c r="B9" s="209" t="s">
        <v>110</v>
      </c>
      <c r="C9" s="214">
        <v>15</v>
      </c>
      <c r="D9" s="41">
        <v>0.0667</v>
      </c>
    </row>
    <row r="10" spans="1:4" ht="14.25" customHeight="1">
      <c r="A10" t="s">
        <v>75</v>
      </c>
      <c r="B10" s="209" t="s">
        <v>111</v>
      </c>
      <c r="C10" s="214">
        <v>30</v>
      </c>
      <c r="D10" s="41">
        <v>0.0333</v>
      </c>
    </row>
    <row r="11" spans="1:3" ht="14.25" customHeight="1">
      <c r="A11" s="210" t="s">
        <v>76</v>
      </c>
      <c r="B11" s="209"/>
      <c r="C11" s="214"/>
    </row>
    <row r="12" spans="1:4" ht="14.25" customHeight="1">
      <c r="A12" t="s">
        <v>112</v>
      </c>
      <c r="B12" s="209" t="s">
        <v>119</v>
      </c>
      <c r="C12" s="214">
        <v>35</v>
      </c>
      <c r="D12" s="41">
        <v>0.0286</v>
      </c>
    </row>
    <row r="13" spans="1:4" ht="14.25" customHeight="1">
      <c r="A13" t="s">
        <v>77</v>
      </c>
      <c r="B13" s="209" t="s">
        <v>124</v>
      </c>
      <c r="C13" s="214">
        <v>15</v>
      </c>
      <c r="D13" s="41">
        <v>0.0667</v>
      </c>
    </row>
    <row r="14" spans="1:4" ht="14.25" customHeight="1">
      <c r="A14" t="s">
        <v>78</v>
      </c>
      <c r="B14" s="209" t="s">
        <v>125</v>
      </c>
      <c r="C14" s="214">
        <v>10</v>
      </c>
      <c r="D14" s="41">
        <v>0.1</v>
      </c>
    </row>
    <row r="15" spans="1:3" ht="14.25" customHeight="1">
      <c r="A15" s="210" t="s">
        <v>79</v>
      </c>
      <c r="B15" s="209"/>
      <c r="C15" s="214"/>
    </row>
    <row r="16" spans="1:4" ht="14.25" customHeight="1">
      <c r="A16" t="s">
        <v>112</v>
      </c>
      <c r="B16" s="209" t="s">
        <v>113</v>
      </c>
      <c r="C16" s="214">
        <v>40</v>
      </c>
      <c r="D16" s="41">
        <v>0.025</v>
      </c>
    </row>
    <row r="17" spans="1:4" ht="14.25" customHeight="1">
      <c r="A17" t="s">
        <v>114</v>
      </c>
      <c r="B17" s="209" t="s">
        <v>126</v>
      </c>
      <c r="C17" s="214">
        <v>15</v>
      </c>
      <c r="D17" s="41">
        <v>0.0667</v>
      </c>
    </row>
    <row r="18" spans="1:4" ht="14.25" customHeight="1">
      <c r="A18" t="s">
        <v>115</v>
      </c>
      <c r="B18" s="209" t="s">
        <v>116</v>
      </c>
      <c r="C18" s="214">
        <v>20</v>
      </c>
      <c r="D18" s="41">
        <v>0.05</v>
      </c>
    </row>
    <row r="19" spans="1:4" ht="14.25" customHeight="1">
      <c r="A19" t="s">
        <v>117</v>
      </c>
      <c r="B19" s="209" t="s">
        <v>127</v>
      </c>
      <c r="C19" s="214">
        <v>12</v>
      </c>
      <c r="D19" s="41">
        <v>0.0833</v>
      </c>
    </row>
    <row r="20" spans="1:4" ht="14.25" customHeight="1">
      <c r="A20" t="s">
        <v>118</v>
      </c>
      <c r="B20" s="209" t="s">
        <v>119</v>
      </c>
      <c r="C20" s="214">
        <v>35</v>
      </c>
      <c r="D20" s="41">
        <v>0.0286</v>
      </c>
    </row>
    <row r="21" ht="24.75" customHeight="1">
      <c r="C21" s="210"/>
    </row>
    <row r="22" spans="1:3" ht="18">
      <c r="A22" s="211" t="s">
        <v>121</v>
      </c>
      <c r="C22" s="210"/>
    </row>
    <row r="23" ht="12.75">
      <c r="C23" s="210"/>
    </row>
    <row r="24" spans="2:4" ht="25.5">
      <c r="B24" t="s">
        <v>122</v>
      </c>
      <c r="C24" s="213" t="s">
        <v>104</v>
      </c>
      <c r="D24" s="54" t="s">
        <v>105</v>
      </c>
    </row>
    <row r="25" spans="1:4" ht="14.25" customHeight="1">
      <c r="A25" t="s">
        <v>80</v>
      </c>
      <c r="B25" s="84">
        <v>50</v>
      </c>
      <c r="C25" s="214">
        <v>50</v>
      </c>
      <c r="D25" s="41">
        <v>0.02</v>
      </c>
    </row>
    <row r="26" spans="1:4" ht="14.25" customHeight="1">
      <c r="A26" t="s">
        <v>81</v>
      </c>
      <c r="B26" s="84">
        <v>33</v>
      </c>
      <c r="C26" s="214">
        <v>33</v>
      </c>
      <c r="D26" s="41">
        <v>0.0303</v>
      </c>
    </row>
    <row r="27" spans="1:4" ht="14.25" customHeight="1">
      <c r="A27" t="s">
        <v>123</v>
      </c>
      <c r="B27" s="84">
        <v>50</v>
      </c>
      <c r="C27" s="214">
        <v>50</v>
      </c>
      <c r="D27" s="41">
        <v>0.02</v>
      </c>
    </row>
    <row r="28" spans="1:4" ht="14.25" customHeight="1">
      <c r="A28" t="s">
        <v>82</v>
      </c>
      <c r="B28" s="84">
        <v>80</v>
      </c>
      <c r="C28" s="214">
        <v>70</v>
      </c>
      <c r="D28" s="41">
        <v>0.0143</v>
      </c>
    </row>
    <row r="29" spans="1:4" ht="14.25" customHeight="1">
      <c r="A29" t="s">
        <v>83</v>
      </c>
      <c r="B29" s="84">
        <v>66</v>
      </c>
      <c r="C29" s="214">
        <v>66</v>
      </c>
      <c r="D29" s="41">
        <v>0.0152</v>
      </c>
    </row>
    <row r="30" spans="1:4" ht="14.25" customHeight="1">
      <c r="A30" t="s">
        <v>84</v>
      </c>
      <c r="B30" s="84">
        <v>20</v>
      </c>
      <c r="C30" s="214">
        <v>20</v>
      </c>
      <c r="D30" s="41">
        <v>0.05</v>
      </c>
    </row>
  </sheetData>
  <sheetProtection password="C979" sheet="1" objects="1" scenarios="1"/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A25" sqref="A25"/>
    </sheetView>
  </sheetViews>
  <sheetFormatPr defaultColWidth="11.00390625" defaultRowHeight="12.75"/>
  <sheetData>
    <row r="1" spans="2:3" ht="12.75">
      <c r="B1" s="273" t="s">
        <v>60</v>
      </c>
      <c r="C1" s="274"/>
    </row>
    <row r="2" spans="1:3" ht="12.75">
      <c r="A2" t="s">
        <v>42</v>
      </c>
      <c r="B2" s="70" t="s">
        <v>50</v>
      </c>
      <c r="C2" s="71" t="s">
        <v>51</v>
      </c>
    </row>
    <row r="3" spans="2:3" ht="13.5" thickBot="1">
      <c r="B3" s="72"/>
      <c r="C3" s="81" t="s">
        <v>61</v>
      </c>
    </row>
    <row r="4" spans="2:6" ht="12.75">
      <c r="B4" s="73">
        <v>3</v>
      </c>
      <c r="C4" s="74">
        <v>4</v>
      </c>
      <c r="E4" t="s">
        <v>55</v>
      </c>
      <c r="F4" t="s">
        <v>56</v>
      </c>
    </row>
    <row r="5" spans="1:6" ht="12.75">
      <c r="A5">
        <v>2006</v>
      </c>
      <c r="B5">
        <v>100</v>
      </c>
      <c r="C5" s="82"/>
      <c r="F5" t="s">
        <v>54</v>
      </c>
    </row>
    <row r="6" spans="1:8" ht="12.75">
      <c r="A6">
        <v>2005</v>
      </c>
      <c r="B6" s="80">
        <v>104.02102620468278</v>
      </c>
      <c r="C6" s="75">
        <f>(B6-B5)/B5</f>
        <v>0.04021026204682784</v>
      </c>
      <c r="H6" s="80"/>
    </row>
    <row r="7" spans="1:8" ht="12.75">
      <c r="A7">
        <v>2004</v>
      </c>
      <c r="B7" s="80">
        <v>108.20373892675303</v>
      </c>
      <c r="C7" s="75">
        <f>(B7-B6)/B6</f>
        <v>0.04021026204682793</v>
      </c>
      <c r="F7" t="s">
        <v>57</v>
      </c>
      <c r="H7" s="80"/>
    </row>
    <row r="8" spans="1:8" ht="12.75">
      <c r="A8">
        <v>2003</v>
      </c>
      <c r="B8" s="80">
        <v>112.55463962344432</v>
      </c>
      <c r="C8" s="75">
        <f aca="true" t="shared" si="0" ref="C8:C69">(B8-B7)/B7</f>
        <v>0.04021026204682782</v>
      </c>
      <c r="H8" s="80"/>
    </row>
    <row r="9" spans="1:8" ht="12.75">
      <c r="A9">
        <v>2002</v>
      </c>
      <c r="B9" s="80">
        <v>117.08049117728929</v>
      </c>
      <c r="C9" s="75">
        <f t="shared" si="0"/>
        <v>0.040210262046827885</v>
      </c>
      <c r="F9" t="s">
        <v>58</v>
      </c>
      <c r="H9" s="80"/>
    </row>
    <row r="10" spans="1:8" ht="12.75">
      <c r="A10">
        <v>2001</v>
      </c>
      <c r="B10" s="80">
        <v>121.78832840809942</v>
      </c>
      <c r="C10" s="75">
        <f t="shared" si="0"/>
        <v>0.040210262046827934</v>
      </c>
      <c r="F10" t="s">
        <v>59</v>
      </c>
      <c r="H10" s="80"/>
    </row>
    <row r="11" spans="1:8" ht="12.75">
      <c r="A11">
        <v>2000</v>
      </c>
      <c r="B11" s="80">
        <v>126.68546900763423</v>
      </c>
      <c r="C11" s="75">
        <f t="shared" si="0"/>
        <v>0.040210262046827865</v>
      </c>
      <c r="H11" s="80"/>
    </row>
    <row r="12" spans="1:8" ht="12.75">
      <c r="A12">
        <v>1999</v>
      </c>
      <c r="B12" s="80">
        <v>131.7795249139565</v>
      </c>
      <c r="C12" s="75">
        <f t="shared" si="0"/>
        <v>0.04021026204682791</v>
      </c>
      <c r="H12" s="80"/>
    </row>
    <row r="13" spans="1:8" ht="12.75">
      <c r="A13">
        <v>1998</v>
      </c>
      <c r="B13" s="80">
        <v>137.07841414315317</v>
      </c>
      <c r="C13" s="75">
        <f t="shared" si="0"/>
        <v>0.040210262046827885</v>
      </c>
      <c r="F13" t="s">
        <v>63</v>
      </c>
      <c r="H13" s="80"/>
    </row>
    <row r="14" spans="1:8" ht="12.75">
      <c r="A14">
        <v>1997</v>
      </c>
      <c r="B14" s="80">
        <v>142.59037309681295</v>
      </c>
      <c r="C14" s="75">
        <f t="shared" si="0"/>
        <v>0.04021026204682788</v>
      </c>
      <c r="F14" t="s">
        <v>62</v>
      </c>
      <c r="H14" s="80"/>
    </row>
    <row r="15" spans="1:8" ht="12.75">
      <c r="A15">
        <v>1996</v>
      </c>
      <c r="B15" s="80">
        <v>148.32396936439076</v>
      </c>
      <c r="C15" s="75">
        <f t="shared" si="0"/>
        <v>0.040210262046827906</v>
      </c>
      <c r="H15" s="80"/>
    </row>
    <row r="16" spans="1:8" ht="12.75">
      <c r="A16">
        <v>1995</v>
      </c>
      <c r="B16" s="80">
        <v>154.28811504035858</v>
      </c>
      <c r="C16" s="75">
        <f t="shared" si="0"/>
        <v>0.040210262046827816</v>
      </c>
      <c r="H16" s="80"/>
    </row>
    <row r="17" spans="1:8" ht="12.75">
      <c r="A17">
        <v>1994</v>
      </c>
      <c r="B17" s="80">
        <v>160.4920805768425</v>
      </c>
      <c r="C17" s="75">
        <f t="shared" si="0"/>
        <v>0.040210262046827816</v>
      </c>
      <c r="H17" s="80"/>
    </row>
    <row r="18" spans="1:8" ht="12.75">
      <c r="A18">
        <v>1993</v>
      </c>
      <c r="B18" s="80">
        <v>166.94550919327796</v>
      </c>
      <c r="C18" s="75">
        <f t="shared" si="0"/>
        <v>0.04021026204682784</v>
      </c>
      <c r="H18" s="80"/>
    </row>
    <row r="19" spans="1:8" ht="12.75">
      <c r="A19">
        <v>1992</v>
      </c>
      <c r="B19" s="80">
        <v>173.65843186548076</v>
      </c>
      <c r="C19" s="75">
        <f t="shared" si="0"/>
        <v>0.04021026204682781</v>
      </c>
      <c r="H19" s="80"/>
    </row>
    <row r="20" spans="1:8" ht="12.75">
      <c r="A20">
        <v>1991</v>
      </c>
      <c r="B20" s="80">
        <v>180.64128291743296</v>
      </c>
      <c r="C20" s="76">
        <f t="shared" si="0"/>
        <v>0.040210262046827934</v>
      </c>
      <c r="H20" s="80"/>
    </row>
    <row r="21" spans="1:8" ht="12.75">
      <c r="A21">
        <v>1990</v>
      </c>
      <c r="B21" s="80">
        <v>187.9049162400181</v>
      </c>
      <c r="C21" s="77">
        <f t="shared" si="0"/>
        <v>0.04021026204682787</v>
      </c>
      <c r="H21" s="80"/>
    </row>
    <row r="22" spans="1:8" ht="12.75">
      <c r="A22">
        <v>1989</v>
      </c>
      <c r="B22" s="80">
        <v>195.4606221619165</v>
      </c>
      <c r="C22" s="77">
        <f t="shared" si="0"/>
        <v>0.04021026204682792</v>
      </c>
      <c r="H22" s="80"/>
    </row>
    <row r="23" spans="1:8" ht="12.75">
      <c r="A23">
        <v>1988</v>
      </c>
      <c r="B23" s="80">
        <v>203.32014499888317</v>
      </c>
      <c r="C23" s="77">
        <f t="shared" si="0"/>
        <v>0.040210262046827885</v>
      </c>
      <c r="H23" s="80"/>
    </row>
    <row r="24" spans="1:8" ht="12.75">
      <c r="A24">
        <v>1987</v>
      </c>
      <c r="B24" s="80">
        <v>211.4957013086873</v>
      </c>
      <c r="C24" s="77">
        <f t="shared" si="0"/>
        <v>0.0402102620468279</v>
      </c>
      <c r="H24" s="80"/>
    </row>
    <row r="25" spans="1:3" ht="12.75">
      <c r="A25">
        <v>1986</v>
      </c>
      <c r="B25">
        <v>220</v>
      </c>
      <c r="C25" s="77">
        <f t="shared" si="0"/>
        <v>0.04021026734203122</v>
      </c>
    </row>
    <row r="26" spans="1:3" ht="12.75">
      <c r="A26">
        <v>1985</v>
      </c>
      <c r="B26">
        <v>237</v>
      </c>
      <c r="C26" s="77">
        <f t="shared" si="0"/>
        <v>0.07727272727272727</v>
      </c>
    </row>
    <row r="27" spans="1:5" ht="12.75">
      <c r="A27">
        <v>1984</v>
      </c>
      <c r="B27">
        <v>258</v>
      </c>
      <c r="C27" s="77">
        <f t="shared" si="0"/>
        <v>0.08860759493670886</v>
      </c>
      <c r="E27" s="102"/>
    </row>
    <row r="28" spans="1:3" ht="12.75">
      <c r="A28">
        <v>1983</v>
      </c>
      <c r="B28">
        <v>278</v>
      </c>
      <c r="C28" s="77">
        <f t="shared" si="0"/>
        <v>0.07751937984496124</v>
      </c>
    </row>
    <row r="29" spans="1:3" ht="12.75">
      <c r="A29">
        <v>1982</v>
      </c>
      <c r="B29">
        <v>298</v>
      </c>
      <c r="C29" s="77">
        <f t="shared" si="0"/>
        <v>0.07194244604316546</v>
      </c>
    </row>
    <row r="30" spans="1:3" ht="12.75">
      <c r="A30">
        <v>1981</v>
      </c>
      <c r="B30">
        <v>311</v>
      </c>
      <c r="C30" s="77">
        <f t="shared" si="0"/>
        <v>0.0436241610738255</v>
      </c>
    </row>
    <row r="31" spans="1:3" ht="12.75">
      <c r="A31">
        <v>1980</v>
      </c>
      <c r="B31">
        <v>278</v>
      </c>
      <c r="C31" s="77">
        <f t="shared" si="0"/>
        <v>-0.10610932475884244</v>
      </c>
    </row>
    <row r="32" spans="1:3" ht="12.75">
      <c r="A32">
        <v>1979</v>
      </c>
      <c r="B32">
        <v>284</v>
      </c>
      <c r="C32" s="77">
        <f t="shared" si="0"/>
        <v>0.02158273381294964</v>
      </c>
    </row>
    <row r="33" spans="1:3" ht="12.75">
      <c r="A33">
        <v>1978</v>
      </c>
      <c r="B33">
        <v>325</v>
      </c>
      <c r="C33" s="77">
        <f t="shared" si="0"/>
        <v>0.1443661971830986</v>
      </c>
    </row>
    <row r="34" spans="1:3" ht="12.75">
      <c r="A34">
        <v>1977</v>
      </c>
      <c r="B34">
        <v>331</v>
      </c>
      <c r="C34" s="77">
        <f t="shared" si="0"/>
        <v>0.018461538461538463</v>
      </c>
    </row>
    <row r="35" spans="1:3" ht="12.75">
      <c r="A35">
        <v>1976</v>
      </c>
      <c r="B35">
        <v>375</v>
      </c>
      <c r="C35" s="77">
        <f t="shared" si="0"/>
        <v>0.13293051359516617</v>
      </c>
    </row>
    <row r="36" spans="1:3" ht="12.75">
      <c r="A36">
        <v>1975</v>
      </c>
      <c r="B36">
        <v>421</v>
      </c>
      <c r="C36" s="77">
        <f t="shared" si="0"/>
        <v>0.12266666666666666</v>
      </c>
    </row>
    <row r="37" spans="1:3" ht="12.75">
      <c r="A37">
        <v>1974</v>
      </c>
      <c r="B37">
        <v>466</v>
      </c>
      <c r="C37" s="77">
        <f t="shared" si="0"/>
        <v>0.10688836104513064</v>
      </c>
    </row>
    <row r="38" spans="1:3" ht="12.75">
      <c r="A38">
        <v>1973</v>
      </c>
      <c r="B38">
        <v>513</v>
      </c>
      <c r="C38" s="77">
        <f t="shared" si="0"/>
        <v>0.10085836909871244</v>
      </c>
    </row>
    <row r="39" spans="1:3" ht="12.75">
      <c r="A39">
        <v>1972</v>
      </c>
      <c r="B39">
        <v>558</v>
      </c>
      <c r="C39" s="77">
        <f t="shared" si="0"/>
        <v>0.08771929824561403</v>
      </c>
    </row>
    <row r="40" spans="1:3" ht="12.75">
      <c r="A40">
        <v>1971</v>
      </c>
      <c r="B40">
        <v>536</v>
      </c>
      <c r="C40" s="77">
        <f t="shared" si="0"/>
        <v>-0.03942652329749104</v>
      </c>
    </row>
    <row r="41" spans="1:3" ht="12.75">
      <c r="A41">
        <v>1970</v>
      </c>
      <c r="B41">
        <v>500</v>
      </c>
      <c r="C41" s="77">
        <f t="shared" si="0"/>
        <v>-0.06716417910447761</v>
      </c>
    </row>
    <row r="42" spans="1:3" ht="12.75">
      <c r="A42">
        <v>1969</v>
      </c>
      <c r="B42">
        <v>515</v>
      </c>
      <c r="C42" s="77">
        <f t="shared" si="0"/>
        <v>0.03</v>
      </c>
    </row>
    <row r="43" spans="1:3" ht="12.75">
      <c r="A43">
        <v>1968</v>
      </c>
      <c r="B43">
        <v>531</v>
      </c>
      <c r="C43" s="77">
        <f t="shared" si="0"/>
        <v>0.031067961165048542</v>
      </c>
    </row>
    <row r="44" spans="1:3" ht="12.75">
      <c r="A44">
        <v>1967</v>
      </c>
      <c r="B44">
        <v>549</v>
      </c>
      <c r="C44" s="77">
        <f t="shared" si="0"/>
        <v>0.03389830508474576</v>
      </c>
    </row>
    <row r="45" spans="1:3" ht="12.75">
      <c r="A45">
        <v>1966</v>
      </c>
      <c r="B45">
        <v>600</v>
      </c>
      <c r="C45" s="77">
        <f t="shared" si="0"/>
        <v>0.09289617486338798</v>
      </c>
    </row>
    <row r="46" spans="1:3" ht="12.75">
      <c r="A46">
        <v>1965</v>
      </c>
      <c r="B46">
        <v>654</v>
      </c>
      <c r="C46" s="77">
        <f t="shared" si="0"/>
        <v>0.09</v>
      </c>
    </row>
    <row r="47" spans="1:3" ht="12.75">
      <c r="A47">
        <v>1964</v>
      </c>
      <c r="B47">
        <v>698</v>
      </c>
      <c r="C47" s="77">
        <f t="shared" si="0"/>
        <v>0.0672782874617737</v>
      </c>
    </row>
    <row r="48" spans="1:3" ht="12.75">
      <c r="A48">
        <v>1963</v>
      </c>
      <c r="B48">
        <v>670</v>
      </c>
      <c r="C48" s="77">
        <f t="shared" si="0"/>
        <v>-0.04011461318051576</v>
      </c>
    </row>
    <row r="49" spans="1:3" ht="12.75">
      <c r="A49">
        <v>1962</v>
      </c>
      <c r="B49">
        <v>670</v>
      </c>
      <c r="C49" s="77">
        <f t="shared" si="0"/>
        <v>0</v>
      </c>
    </row>
    <row r="50" spans="1:3" ht="12.75">
      <c r="A50">
        <v>1961</v>
      </c>
      <c r="B50">
        <v>685</v>
      </c>
      <c r="C50" s="77">
        <f t="shared" si="0"/>
        <v>0.022388059701492536</v>
      </c>
    </row>
    <row r="51" spans="1:3" ht="12.75">
      <c r="A51">
        <v>1960</v>
      </c>
      <c r="B51">
        <v>705</v>
      </c>
      <c r="C51" s="77">
        <f t="shared" si="0"/>
        <v>0.029197080291970802</v>
      </c>
    </row>
    <row r="52" spans="1:3" ht="12.75">
      <c r="A52">
        <v>1959</v>
      </c>
      <c r="B52">
        <v>719</v>
      </c>
      <c r="C52" s="77">
        <f t="shared" si="0"/>
        <v>0.019858156028368795</v>
      </c>
    </row>
    <row r="53" spans="1:3" ht="12.75">
      <c r="A53">
        <v>1958</v>
      </c>
      <c r="B53">
        <v>750</v>
      </c>
      <c r="C53" s="77">
        <f t="shared" si="0"/>
        <v>0.043115438108484005</v>
      </c>
    </row>
    <row r="54" spans="1:3" ht="12.75">
      <c r="A54">
        <v>1957</v>
      </c>
      <c r="B54">
        <v>790</v>
      </c>
      <c r="C54" s="77">
        <f t="shared" si="0"/>
        <v>0.05333333333333334</v>
      </c>
    </row>
    <row r="55" spans="1:3" ht="12.75">
      <c r="A55">
        <v>1956</v>
      </c>
      <c r="B55">
        <v>859</v>
      </c>
      <c r="C55" s="77">
        <f t="shared" si="0"/>
        <v>0.08734177215189873</v>
      </c>
    </row>
    <row r="56" spans="1:3" ht="12.75">
      <c r="A56">
        <v>1955</v>
      </c>
      <c r="B56">
        <v>911</v>
      </c>
      <c r="C56" s="77">
        <f t="shared" si="0"/>
        <v>0.06053550640279395</v>
      </c>
    </row>
    <row r="57" spans="1:3" ht="12.75">
      <c r="A57">
        <v>1954</v>
      </c>
      <c r="B57">
        <v>905</v>
      </c>
      <c r="C57" s="77">
        <f t="shared" si="0"/>
        <v>-0.006586169045005488</v>
      </c>
    </row>
    <row r="58" spans="1:3" ht="12.75">
      <c r="A58">
        <v>1953</v>
      </c>
      <c r="B58">
        <v>864</v>
      </c>
      <c r="C58" s="77">
        <f t="shared" si="0"/>
        <v>-0.045303867403314914</v>
      </c>
    </row>
    <row r="59" spans="1:3" ht="12.75">
      <c r="A59">
        <v>1952</v>
      </c>
      <c r="B59">
        <v>853</v>
      </c>
      <c r="C59" s="77">
        <f t="shared" si="0"/>
        <v>-0.01273148148148148</v>
      </c>
    </row>
    <row r="60" spans="1:3" ht="12.75">
      <c r="A60">
        <v>1951</v>
      </c>
      <c r="B60">
        <v>874</v>
      </c>
      <c r="C60" s="77">
        <f t="shared" si="0"/>
        <v>0.0246189917936694</v>
      </c>
    </row>
    <row r="61" spans="1:3" ht="12.75">
      <c r="A61">
        <v>1950</v>
      </c>
      <c r="B61">
        <v>861</v>
      </c>
      <c r="C61" s="77">
        <f t="shared" si="0"/>
        <v>-0.014874141876430207</v>
      </c>
    </row>
    <row r="62" spans="1:3" ht="12.75">
      <c r="A62">
        <v>1949</v>
      </c>
      <c r="B62">
        <v>847</v>
      </c>
      <c r="C62" s="77">
        <f t="shared" si="0"/>
        <v>-0.016260162601626018</v>
      </c>
    </row>
    <row r="63" spans="1:3" ht="12.75">
      <c r="A63">
        <v>1948</v>
      </c>
      <c r="B63">
        <v>844</v>
      </c>
      <c r="C63" s="77">
        <f t="shared" si="0"/>
        <v>-0.0035419126328217238</v>
      </c>
    </row>
    <row r="64" spans="1:3" ht="12.75">
      <c r="A64">
        <v>1947</v>
      </c>
      <c r="B64">
        <v>854</v>
      </c>
      <c r="C64" s="77">
        <f t="shared" si="0"/>
        <v>0.011848341232227487</v>
      </c>
    </row>
    <row r="65" spans="1:3" ht="12.75">
      <c r="A65">
        <v>1946</v>
      </c>
      <c r="B65">
        <v>887</v>
      </c>
      <c r="C65" s="77">
        <f t="shared" si="0"/>
        <v>0.03864168618266979</v>
      </c>
    </row>
    <row r="66" spans="1:3" ht="12.75">
      <c r="A66">
        <v>1945</v>
      </c>
      <c r="B66">
        <v>929</v>
      </c>
      <c r="C66" s="77">
        <f t="shared" si="0"/>
        <v>0.04735062006764374</v>
      </c>
    </row>
    <row r="67" spans="1:3" ht="12.75">
      <c r="A67">
        <v>1944</v>
      </c>
      <c r="B67">
        <v>928</v>
      </c>
      <c r="C67" s="77">
        <f t="shared" si="0"/>
        <v>-0.001076426264800861</v>
      </c>
    </row>
    <row r="68" spans="1:3" ht="12.75">
      <c r="A68">
        <v>1943</v>
      </c>
      <c r="B68">
        <v>899</v>
      </c>
      <c r="C68" s="77">
        <f t="shared" si="0"/>
        <v>-0.03125</v>
      </c>
    </row>
    <row r="69" spans="1:8" ht="12.75">
      <c r="A69">
        <v>1942</v>
      </c>
      <c r="B69" s="80">
        <v>907.0909999999999</v>
      </c>
      <c r="C69" s="77">
        <f t="shared" si="0"/>
        <v>0.008999999999999883</v>
      </c>
      <c r="H69" s="80"/>
    </row>
    <row r="70" spans="1:8" ht="12.75">
      <c r="A70">
        <v>1941</v>
      </c>
      <c r="B70" s="80">
        <v>928.8611839999999</v>
      </c>
      <c r="C70" s="77">
        <f>(B70-B69)/B69</f>
        <v>0.023999999999999973</v>
      </c>
      <c r="H70" s="80"/>
    </row>
    <row r="71" spans="1:8" ht="12.75">
      <c r="A71">
        <v>1940</v>
      </c>
      <c r="B71" s="80">
        <v>943.1902585263157</v>
      </c>
      <c r="C71" s="77">
        <f>(B71-B70)/B70</f>
        <v>0.015426497277676988</v>
      </c>
      <c r="H71" s="80"/>
    </row>
  </sheetData>
  <sheetProtection password="C979" sheet="1" objects="1" scenarios="1"/>
  <mergeCells count="1">
    <mergeCell ref="B1:C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CZSG Controller Zentrum St.Gallen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Langenegger</dc:creator>
  <cp:keywords/>
  <dc:description/>
  <cp:lastModifiedBy>Norbert Bürge</cp:lastModifiedBy>
  <cp:lastPrinted>2007-11-28T13:27:40Z</cp:lastPrinted>
  <dcterms:created xsi:type="dcterms:W3CDTF">2006-06-06T13:25:09Z</dcterms:created>
  <dcterms:modified xsi:type="dcterms:W3CDTF">2007-12-04T10:20:48Z</dcterms:modified>
  <cp:category/>
  <cp:version/>
  <cp:contentType/>
  <cp:contentStatus/>
</cp:coreProperties>
</file>