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3.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drawings/drawing4.xml" ContentType="application/vnd.openxmlformats-officedocument.drawing+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drawings/drawing5.xml" ContentType="application/vnd.openxmlformats-officedocument.drawing+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drawings/drawing6.xml" ContentType="application/vnd.openxmlformats-officedocument.drawing+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drawings/drawing7.xml" ContentType="application/vnd.openxmlformats-officedocument.drawing+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mc:AlternateContent xmlns:mc="http://schemas.openxmlformats.org/markup-compatibility/2006">
    <mc:Choice Requires="x15">
      <x15ac:absPath xmlns:x15ac="http://schemas.microsoft.com/office/spreadsheetml/2010/11/ac" url="https://ktzuerich.sharepoint.com/sites/AAD-365-M-APP-G999999-O002650/Freigegebene Dokumente/General/"/>
    </mc:Choice>
  </mc:AlternateContent>
  <xr:revisionPtr revIDLastSave="3721" documentId="13_ncr:1_{25D1D2F4-8485-44F0-B621-60B77EDADC0E}" xr6:coauthVersionLast="47" xr6:coauthVersionMax="47" xr10:uidLastSave="{852D4C06-1EC4-467F-B25C-B40137B0BE69}"/>
  <bookViews>
    <workbookView xWindow="-120" yWindow="-120" windowWidth="29040" windowHeight="17640" tabRatio="825" xr2:uid="{00000000-000D-0000-FFFF-FFFF00000000}"/>
  </bookViews>
  <sheets>
    <sheet name="1_Willkommen" sheetId="28" r:id="rId1"/>
    <sheet name="2_Grunddaten" sheetId="17" r:id="rId2"/>
    <sheet name="Übersicht 3A-F" sheetId="27" r:id="rId3"/>
    <sheet name="3A_Milchprodukte" sheetId="18" r:id="rId4"/>
    <sheet name="3B_Fleisch" sheetId="1" r:id="rId5"/>
    <sheet name="3C_Transport, Gemüse, Bio" sheetId="19" r:id="rId6"/>
    <sheet name="3D_Menüzusammensetzung" sheetId="20" r:id="rId7"/>
    <sheet name="3E_Vegan_Vegetarisch" sheetId="21" r:id="rId8"/>
    <sheet name="3F_Foodwaste" sheetId="22" r:id="rId9"/>
    <sheet name="4_Nachweiserbringung" sheetId="24" r:id="rId10"/>
    <sheet name="4_Berechnung" sheetId="26" r:id="rId11"/>
  </sheets>
  <definedNames>
    <definedName name="_xlnm._FilterDatabase" localSheetId="9" hidden="1">'4_Nachweiserbringung'!$B$19:$N$87</definedName>
    <definedName name="A_TOT">'3A_Milchprodukte'!$H$33</definedName>
    <definedName name="A_TOT_real">'3A_Milchprodukte'!$I$5</definedName>
    <definedName name="Ang_Vegan">#REF!</definedName>
    <definedName name="Ang_Vegan_31">'4_Nachweiserbringung'!$I$81</definedName>
    <definedName name="Ang_Veget">#REF!</definedName>
    <definedName name="Ang_Veget_30">'4_Nachweiserbringung'!$I$79</definedName>
    <definedName name="Anteil_Huelsen">#REF!</definedName>
    <definedName name="Anteil_Huelsen_26">'4_Nachweiserbringung'!$I$71</definedName>
    <definedName name="Anteil_Soja_zert">#REF!</definedName>
    <definedName name="Anteil_Soja_zert_24">'4_Nachweiserbringung'!$I$67</definedName>
    <definedName name="B_TOT">'3B_Fleisch'!$H$63</definedName>
    <definedName name="B_TOT_gr">'3B_Fleisch'!$J$66</definedName>
    <definedName name="B_TOT_real">'3B_Fleisch'!$J$5</definedName>
    <definedName name="Butter">#REF!</definedName>
    <definedName name="Butter_3">'4_Nachweiserbringung'!$I$25</definedName>
    <definedName name="C_TOT">'3C_Transport, Gemüse, Bio'!$H$33</definedName>
    <definedName name="D_TOT">'3D_Menüzusammensetzung'!$H$28</definedName>
    <definedName name="date1">'2_Grunddaten'!$D$5</definedName>
    <definedName name="_xlnm.Print_Area" localSheetId="3">'3A_Milchprodukte'!$A:$H</definedName>
    <definedName name="_xlnm.Print_Area" localSheetId="4">'3B_Fleisch'!$A:$L</definedName>
    <definedName name="_xlnm.Print_Area" localSheetId="5">'3C_Transport, Gemüse, Bio'!$A:$K</definedName>
    <definedName name="_xlnm.Print_Area" localSheetId="6">'3D_Menüzusammensetzung'!$A:$K</definedName>
    <definedName name="_xlnm.Print_Area" localSheetId="7">'3E_Vegan_Vegetarisch'!$A:$L</definedName>
    <definedName name="_xlnm.Print_Area" localSheetId="8">'3F_Foodwaste'!$A:$K</definedName>
    <definedName name="_xlnm.Print_Area" localSheetId="9">'4_Nachweiserbringung'!$A:$O</definedName>
    <definedName name="E_TOT">'3E_Vegan_Vegetarisch'!$H$23</definedName>
    <definedName name="E_TOT_gr">'3E_Vegan_Vegetarisch'!$I$23</definedName>
    <definedName name="F_TOT">'3F_Foodwaste'!$H$8</definedName>
    <definedName name="Fisch">#REF!</definedName>
    <definedName name="Fisch_11">'4_Berechnung'!$H$16</definedName>
    <definedName name="Fisch_13">'4_Berechnung'!$H$21</definedName>
    <definedName name="Fisch_18">'4_Berechnung'!$I$26</definedName>
    <definedName name="Foodwaste">#REF!</definedName>
    <definedName name="Foodwaste_34">'4_Nachweiserbringung'!$I$87</definedName>
    <definedName name="Foss_Heiz">#REF!</definedName>
    <definedName name="Foss_Heiz_20">'4_Nachweiserbringung'!$I$59</definedName>
    <definedName name="from_1">'2_Grunddaten'!$D$7</definedName>
    <definedName name="Gefluegel">#REF!</definedName>
    <definedName name="Gefluegel_11">'4_Berechnung'!$G$16</definedName>
    <definedName name="Gefluegel_13">'4_Berechnung'!$G$21</definedName>
    <definedName name="Gefluegel_15">'4_Nachweiserbringung'!$I$49</definedName>
    <definedName name="Gefluegel_18">'4_Berechnung'!$H$26</definedName>
    <definedName name="Gefluegel_Nose">#REF!</definedName>
    <definedName name="Gefluegel_Nose_16">'4_Nachweiserbringung'!$I$51</definedName>
    <definedName name="Hartkaese">#REF!</definedName>
    <definedName name="Hartkaese_5">'4_Nachweiserbringung'!$I$29</definedName>
    <definedName name="Joghurt">#REF!</definedName>
    <definedName name="Joghurt_1">'4_Nachweiserbringung'!$J$21</definedName>
    <definedName name="Kaese">#REF!</definedName>
    <definedName name="Kaese_4">'4_Nachweiserbringung'!$I$27</definedName>
    <definedName name="Kalb">#REF!</definedName>
    <definedName name="Kalb_11">'4_Berechnung'!$E$16</definedName>
    <definedName name="Kalb_13">'4_Berechnung'!$E$21</definedName>
    <definedName name="Kalb_18">'4_Berechnung'!$F$26</definedName>
    <definedName name="Kalb_7">'4_Nachweiserbringung'!$J$33</definedName>
    <definedName name="Kalb_8">'4_Nachweiserbringung'!$J$35</definedName>
    <definedName name="Kalb_9">'4_Nachweiserbringung'!$J$37</definedName>
    <definedName name="Korr28">'3D_Menüzusammensetzung'!$I$21</definedName>
    <definedName name="Milch">#REF!</definedName>
    <definedName name="Milch_1">'4_Nachweiserbringung'!$I$21</definedName>
    <definedName name="name1">'2_Grunddaten'!$D$4</definedName>
    <definedName name="no_total_1">'2_Grunddaten'!$D$10</definedName>
    <definedName name="no_total_30">'4_Nachweiserbringung'!$K$79</definedName>
    <definedName name="no_total_31">'4_Nachweiserbringung'!$K$81</definedName>
    <definedName name="no_total_32">'4_Nachweiserbringung'!$K$83</definedName>
    <definedName name="no_total_33">'4_Nachweiserbringung'!$K$85</definedName>
    <definedName name="no_vegan">'2_Grunddaten'!#REF!</definedName>
    <definedName name="no_veget">'2_Grunddaten'!#REF!</definedName>
    <definedName name="Nuesse">#REF!</definedName>
    <definedName name="Nuesse_25">'4_Nachweiserbringung'!$I$69</definedName>
    <definedName name="Poulet">#REF!</definedName>
    <definedName name="Prime_Kalb">#REF!</definedName>
    <definedName name="Prime_Kalb_10">'4_Nachweiserbringung'!$J$39</definedName>
    <definedName name="Prime_Rind">#REF!</definedName>
    <definedName name="Prime_Rind_10">'4_Nachweiserbringung'!$I$39</definedName>
    <definedName name="Prime_Schwein">#REF!</definedName>
    <definedName name="Prime_Schwein_10">'4_Nachweiserbringung'!$K$39</definedName>
    <definedName name="Rahm">#REF!</definedName>
    <definedName name="Rahm_2">'4_Nachweiserbringung'!$I$23</definedName>
    <definedName name="Red_Trans">#REF!</definedName>
    <definedName name="Red_Trans_22">'4_Nachweiserbringung'!$I$63</definedName>
    <definedName name="Rind">#REF!</definedName>
    <definedName name="Rind_11">'4_Berechnung'!$D$16</definedName>
    <definedName name="Rind_13">'4_Berechnung'!$D$21</definedName>
    <definedName name="Rind_18">'4_Berechnung'!$E$26</definedName>
    <definedName name="Rind_7">'4_Nachweiserbringung'!$I$33</definedName>
    <definedName name="Rind_8">'4_Nachweiserbringung'!$I$35</definedName>
    <definedName name="Rind_9">'4_Nachweiserbringung'!$I$37</definedName>
    <definedName name="Schwein">#REF!</definedName>
    <definedName name="Schwein_11">'4_Berechnung'!$F$16</definedName>
    <definedName name="Schwein_13">'4_Berechnung'!$F$21</definedName>
    <definedName name="Schwein_14">'4_Nachweiserbringung'!$I$47</definedName>
    <definedName name="Schwein_18">'4_Berechnung'!$G$26</definedName>
    <definedName name="Schwein_9">'4_Nachweiserbringung'!$K$37</definedName>
    <definedName name="Surplus_Fleisch">#REF!</definedName>
    <definedName name="Surplus_Fleisch_12">'4_Nachweiserbringung'!$I$43</definedName>
    <definedName name="Surplus_Gemuese">#REF!</definedName>
    <definedName name="Surplus_Gemuese_19">'4_Nachweiserbringung'!$I$57</definedName>
    <definedName name="to_1">'2_Grunddaten'!$D$8</definedName>
    <definedName name="Tot_Fleisch">#REF!</definedName>
    <definedName name="Tot_Fleisch_28">'4_Nachweiserbringung'!$I$75</definedName>
    <definedName name="Tot_Gemuese">#REF!</definedName>
    <definedName name="Tot_Gemuese_27">'4_Nachweiserbringung'!$I$73</definedName>
    <definedName name="Tot_Milch">#REF!</definedName>
    <definedName name="Tot_Milch_18">'4_Berechnung'!$D$26</definedName>
    <definedName name="Tot_Milch_6">'4_Nachweiserbringung'!$I$31</definedName>
    <definedName name="Var_C">'3B_Fleisch'!$I$63</definedName>
    <definedName name="Var28_real">'3D_Menüzusammensetzung'!$I$19</definedName>
    <definedName name="Variable1">'3A_Milchprodukte'!$H$7</definedName>
    <definedName name="Variable10">'3B_Fleisch'!$H$22</definedName>
    <definedName name="Variable11">'3B_Fleisch'!$H$27</definedName>
    <definedName name="Variable12">'3B_Fleisch'!$H$32</definedName>
    <definedName name="Variable13">'3B_Fleisch'!$H$37</definedName>
    <definedName name="Variable14">'3B_Fleisch'!$H$42</definedName>
    <definedName name="Variable15">'3B_Fleisch'!$H$47</definedName>
    <definedName name="Variable16">'3B_Fleisch'!$H$52</definedName>
    <definedName name="Variable17">'3B_Fleisch'!$H$57</definedName>
    <definedName name="Variable18">'3B_Fleisch'!$H$62</definedName>
    <definedName name="Variable19">'3C_Transport, Gemüse, Bio'!$H$7</definedName>
    <definedName name="Variable2">'3A_Milchprodukte'!$H$12</definedName>
    <definedName name="Variable20">'3C_Transport, Gemüse, Bio'!$H$12</definedName>
    <definedName name="Variable21">'3C_Transport, Gemüse, Bio'!$H$17</definedName>
    <definedName name="Variable22">'3C_Transport, Gemüse, Bio'!$H$22</definedName>
    <definedName name="Variable23">'3C_Transport, Gemüse, Bio'!$H$27</definedName>
    <definedName name="Variable24">'3C_Transport, Gemüse, Bio'!$H$32</definedName>
    <definedName name="Variable25">'3D_Menüzusammensetzung'!$H$7</definedName>
    <definedName name="Variable26">'3D_Menüzusammensetzung'!$H$12</definedName>
    <definedName name="Variable27">'3D_Menüzusammensetzung'!$H$17</definedName>
    <definedName name="Variable28">'3D_Menüzusammensetzung'!$H$22</definedName>
    <definedName name="Variable3">'3A_Milchprodukte'!$H$17</definedName>
    <definedName name="Variable30">'3E_Vegan_Vegetarisch'!$H$7</definedName>
    <definedName name="Variable31">'3E_Vegan_Vegetarisch'!$H$12</definedName>
    <definedName name="Variable32">'3E_Vegan_Vegetarisch'!$H$17</definedName>
    <definedName name="Variable33">'3E_Vegan_Vegetarisch'!$H$22</definedName>
    <definedName name="Variable34">'3F_Foodwaste'!$H$7</definedName>
    <definedName name="Variable4">'3A_Milchprodukte'!$H$22</definedName>
    <definedName name="Variable5">'3A_Milchprodukte'!$H$27</definedName>
    <definedName name="Variable6">'3A_Milchprodukte'!$H$32</definedName>
    <definedName name="Variable7">'3B_Fleisch'!$H$7</definedName>
    <definedName name="Variable8">'3B_Fleisch'!$H$12</definedName>
    <definedName name="Variable9">'3B_Fleisch'!$H$17</definedName>
    <definedName name="Verk_Vegan">#REF!</definedName>
    <definedName name="Verk_Vegan_33">'4_Nachweiserbringung'!$I$85</definedName>
    <definedName name="Verk_Veget">#REF!</definedName>
    <definedName name="Verk_Veget_32">'4_Nachweiserbringung'!$I$83</definedName>
    <definedName name="Ware_Bio">#REF!</definedName>
    <definedName name="Ware_Bio_23">'4_Nachweiserbringung'!$I$65</definedName>
    <definedName name="Ware_Flug">#REF!</definedName>
    <definedName name="Ware_Flug_21">'4_Nachweiserbringung'!$I$61</definedName>
    <definedName name="Zuchtfisch">#REF!</definedName>
    <definedName name="Zuchtfisch_17">'4_Nachweiserbringung'!$I$53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24" l="1"/>
  <c r="L53" i="1"/>
  <c r="L48" i="1"/>
  <c r="L43" i="1"/>
  <c r="L33" i="1"/>
  <c r="L28" i="1"/>
  <c r="L18" i="1"/>
  <c r="L13" i="1"/>
  <c r="L8" i="1"/>
  <c r="L3" i="1"/>
  <c r="L38" i="1"/>
  <c r="G69" i="24"/>
  <c r="G86" i="24"/>
  <c r="R86" i="24" l="1"/>
  <c r="J87" i="24" s="1"/>
  <c r="G66" i="24"/>
  <c r="L66" i="24"/>
  <c r="G27" i="24"/>
  <c r="I87" i="24" l="1"/>
  <c r="L86" i="24" s="1"/>
  <c r="P67" i="24"/>
  <c r="P66" i="24"/>
  <c r="M67" i="24"/>
  <c r="I21" i="20"/>
  <c r="H22" i="21" l="1"/>
  <c r="H17" i="21"/>
  <c r="H12" i="21"/>
  <c r="L76" i="24" l="1"/>
  <c r="F77" i="24"/>
  <c r="O77" i="24"/>
  <c r="N77" i="24" s="1"/>
  <c r="O76" i="24"/>
  <c r="N76" i="24" s="1"/>
  <c r="E76" i="24"/>
  <c r="E25" i="20"/>
  <c r="E26" i="20"/>
  <c r="E27" i="20"/>
  <c r="E24" i="20"/>
  <c r="E23" i="20"/>
  <c r="G76" i="24" s="1"/>
  <c r="G77" i="24" s="1"/>
  <c r="E20" i="20"/>
  <c r="E21" i="20"/>
  <c r="E22" i="20"/>
  <c r="E19" i="20"/>
  <c r="E18" i="20"/>
  <c r="G74" i="24" s="1"/>
  <c r="L40" i="24"/>
  <c r="P77" i="24" l="1"/>
  <c r="P76" i="24"/>
  <c r="M77" i="24"/>
  <c r="L77" i="24"/>
  <c r="O20" i="24"/>
  <c r="N20" i="24" s="1"/>
  <c r="O21" i="24"/>
  <c r="G28" i="24" l="1"/>
  <c r="G21" i="24"/>
  <c r="G23" i="24"/>
  <c r="G25" i="24"/>
  <c r="F21" i="24"/>
  <c r="F23" i="24"/>
  <c r="F25" i="24"/>
  <c r="L20" i="24"/>
  <c r="H7" i="19"/>
  <c r="I4" i="18"/>
  <c r="L44" i="24"/>
  <c r="L74" i="24"/>
  <c r="L72" i="24"/>
  <c r="L70" i="24"/>
  <c r="L68" i="24"/>
  <c r="L64" i="24"/>
  <c r="L62" i="24"/>
  <c r="L60" i="24"/>
  <c r="L58" i="24"/>
  <c r="L56" i="24"/>
  <c r="L52" i="24"/>
  <c r="L50" i="24"/>
  <c r="L48" i="24"/>
  <c r="L46" i="24"/>
  <c r="L42" i="24"/>
  <c r="L28" i="24"/>
  <c r="L26" i="24"/>
  <c r="L24" i="24"/>
  <c r="L22" i="24"/>
  <c r="L32" i="24"/>
  <c r="L34" i="24"/>
  <c r="L36" i="24"/>
  <c r="L38" i="24"/>
  <c r="I11" i="26"/>
  <c r="L30" i="24" s="1"/>
  <c r="H7" i="21"/>
  <c r="I4" i="1"/>
  <c r="H7" i="1"/>
  <c r="E22" i="21"/>
  <c r="E17" i="21"/>
  <c r="E12" i="21"/>
  <c r="E7" i="21"/>
  <c r="I12" i="21"/>
  <c r="I17" i="21"/>
  <c r="I22" i="21"/>
  <c r="J21" i="21"/>
  <c r="I62" i="1"/>
  <c r="E66" i="24"/>
  <c r="J40" i="1"/>
  <c r="G29" i="24"/>
  <c r="I26" i="19"/>
  <c r="I25" i="19"/>
  <c r="I24" i="19"/>
  <c r="E62" i="1"/>
  <c r="E58" i="1"/>
  <c r="P26" i="24" l="1"/>
  <c r="P27" i="24"/>
  <c r="P42" i="24"/>
  <c r="P43" i="24"/>
  <c r="P29" i="24"/>
  <c r="P28" i="24"/>
  <c r="P25" i="24"/>
  <c r="P24" i="24"/>
  <c r="P21" i="24"/>
  <c r="P20" i="24"/>
  <c r="P23" i="24"/>
  <c r="P22" i="24"/>
  <c r="M29" i="24"/>
  <c r="M25" i="24"/>
  <c r="M23" i="24"/>
  <c r="M21" i="24"/>
  <c r="L21" i="24"/>
  <c r="L67" i="24"/>
  <c r="L65" i="24"/>
  <c r="L63" i="24"/>
  <c r="L54" i="24"/>
  <c r="H12" i="1"/>
  <c r="G82" i="24"/>
  <c r="G68" i="24"/>
  <c r="J26" i="1" l="1"/>
  <c r="G44" i="24" l="1"/>
  <c r="H27" i="19" l="1"/>
  <c r="G61" i="24" l="1"/>
  <c r="H22" i="19"/>
  <c r="H17" i="19"/>
  <c r="H12" i="19"/>
  <c r="I30" i="19"/>
  <c r="P61" i="24" l="1"/>
  <c r="P60" i="24"/>
  <c r="M61" i="24"/>
  <c r="F14" i="21"/>
  <c r="F15" i="21"/>
  <c r="F16" i="21"/>
  <c r="F61" i="1"/>
  <c r="F60" i="1"/>
  <c r="F59" i="1"/>
  <c r="F6" i="21" l="1"/>
  <c r="E6" i="21" s="1"/>
  <c r="E16" i="21"/>
  <c r="F5" i="21"/>
  <c r="E5" i="21" s="1"/>
  <c r="I7" i="21" s="1"/>
  <c r="I23" i="21" s="1"/>
  <c r="E15" i="21"/>
  <c r="F4" i="21"/>
  <c r="E4" i="21" s="1"/>
  <c r="E14" i="21"/>
  <c r="H22" i="1" l="1"/>
  <c r="H47" i="1"/>
  <c r="H32" i="1"/>
  <c r="H52" i="1"/>
  <c r="J42" i="1"/>
  <c r="J17" i="1"/>
  <c r="J12" i="1"/>
  <c r="J7" i="1"/>
  <c r="H17" i="1" l="1"/>
  <c r="J39" i="1"/>
  <c r="J9" i="1"/>
  <c r="I30" i="18"/>
  <c r="I24" i="18"/>
  <c r="I29" i="18"/>
  <c r="H7" i="18" l="1"/>
  <c r="H32" i="18"/>
  <c r="H42" i="1"/>
  <c r="H17" i="18"/>
  <c r="H22" i="18"/>
  <c r="H27" i="18"/>
  <c r="H12" i="18"/>
  <c r="H22" i="24" s="1"/>
  <c r="H33" i="18" l="1"/>
  <c r="I5" i="18" s="1"/>
  <c r="I4" i="20"/>
  <c r="F87" i="24"/>
  <c r="F75" i="24"/>
  <c r="F73" i="24"/>
  <c r="F69" i="24"/>
  <c r="F61" i="24"/>
  <c r="G55" i="24"/>
  <c r="F55" i="24"/>
  <c r="G53" i="24"/>
  <c r="F53" i="24"/>
  <c r="F51" i="24"/>
  <c r="G51" i="24" s="1"/>
  <c r="F49" i="24"/>
  <c r="G49" i="24" s="1"/>
  <c r="F47" i="24"/>
  <c r="G47" i="24" s="1"/>
  <c r="G41" i="24"/>
  <c r="F41" i="24"/>
  <c r="G39" i="24"/>
  <c r="F39" i="24"/>
  <c r="G37" i="24"/>
  <c r="F37" i="24"/>
  <c r="G31" i="24"/>
  <c r="F31" i="24"/>
  <c r="F29" i="24"/>
  <c r="F27" i="24"/>
  <c r="M69" i="24"/>
  <c r="P41" i="24" l="1"/>
  <c r="P40" i="24"/>
  <c r="P47" i="24"/>
  <c r="P46" i="24"/>
  <c r="P55" i="24"/>
  <c r="P54" i="24"/>
  <c r="P31" i="24"/>
  <c r="P30" i="24"/>
  <c r="P51" i="24"/>
  <c r="P50" i="24"/>
  <c r="P37" i="24"/>
  <c r="P36" i="24"/>
  <c r="P49" i="24"/>
  <c r="P48" i="24"/>
  <c r="P52" i="24"/>
  <c r="P53" i="24"/>
  <c r="P69" i="24"/>
  <c r="P68" i="24"/>
  <c r="P39" i="24"/>
  <c r="P38" i="24"/>
  <c r="M27" i="24"/>
  <c r="M41" i="24"/>
  <c r="M47" i="24"/>
  <c r="M51" i="24"/>
  <c r="M37" i="24"/>
  <c r="M31" i="24"/>
  <c r="M53" i="24"/>
  <c r="M49" i="24"/>
  <c r="M39" i="24"/>
  <c r="L29" i="24"/>
  <c r="L39" i="24"/>
  <c r="L51" i="24"/>
  <c r="L55" i="24"/>
  <c r="L61" i="24"/>
  <c r="L87" i="24"/>
  <c r="L53" i="24"/>
  <c r="L73" i="24"/>
  <c r="L49" i="24"/>
  <c r="L69" i="24"/>
  <c r="L75" i="24"/>
  <c r="L47" i="24"/>
  <c r="L41" i="24"/>
  <c r="L37" i="24"/>
  <c r="L31" i="24"/>
  <c r="L23" i="24"/>
  <c r="L25" i="24" l="1"/>
  <c r="L27" i="24"/>
  <c r="E9" i="1" l="1"/>
  <c r="L71" i="24" l="1"/>
  <c r="L43" i="24"/>
  <c r="L59" i="24"/>
  <c r="L57" i="24"/>
  <c r="G64" i="24" l="1"/>
  <c r="P65" i="24" s="1"/>
  <c r="G62" i="24"/>
  <c r="P62" i="24" s="1"/>
  <c r="G72" i="24"/>
  <c r="O87" i="24"/>
  <c r="N87" i="24" s="1"/>
  <c r="O86" i="24"/>
  <c r="N86" i="24" s="1"/>
  <c r="O85" i="24"/>
  <c r="O84" i="24"/>
  <c r="N84" i="24" s="1"/>
  <c r="O83" i="24"/>
  <c r="O82" i="24"/>
  <c r="N82" i="24" s="1"/>
  <c r="O81" i="24"/>
  <c r="L80" i="24" s="1"/>
  <c r="O80" i="24"/>
  <c r="N80" i="24" s="1"/>
  <c r="O79" i="24"/>
  <c r="O78" i="24"/>
  <c r="N78" i="24" s="1"/>
  <c r="O75" i="24"/>
  <c r="N75" i="24" s="1"/>
  <c r="O74" i="24"/>
  <c r="N74" i="24" s="1"/>
  <c r="O73" i="24"/>
  <c r="N73" i="24" s="1"/>
  <c r="O72" i="24"/>
  <c r="N72" i="24" s="1"/>
  <c r="O71" i="24"/>
  <c r="N71" i="24" s="1"/>
  <c r="O70" i="24"/>
  <c r="N70" i="24" s="1"/>
  <c r="O69" i="24"/>
  <c r="N69" i="24" s="1"/>
  <c r="O68" i="24"/>
  <c r="N68" i="24" s="1"/>
  <c r="O67" i="24"/>
  <c r="N67" i="24" s="1"/>
  <c r="O66" i="24"/>
  <c r="N66" i="24" s="1"/>
  <c r="O65" i="24"/>
  <c r="N65" i="24" s="1"/>
  <c r="O64" i="24"/>
  <c r="N64" i="24" s="1"/>
  <c r="O63" i="24"/>
  <c r="N63" i="24" s="1"/>
  <c r="O62" i="24"/>
  <c r="N62" i="24" s="1"/>
  <c r="O61" i="24"/>
  <c r="N61" i="24" s="1"/>
  <c r="O60" i="24"/>
  <c r="N60" i="24" s="1"/>
  <c r="O59" i="24"/>
  <c r="N59" i="24" s="1"/>
  <c r="O58" i="24"/>
  <c r="N58" i="24" s="1"/>
  <c r="O57" i="24"/>
  <c r="N57" i="24" s="1"/>
  <c r="O56" i="24"/>
  <c r="N56" i="24" s="1"/>
  <c r="O31" i="24"/>
  <c r="N31" i="24" s="1"/>
  <c r="O30" i="24"/>
  <c r="N30" i="24" s="1"/>
  <c r="O29" i="24"/>
  <c r="N29" i="24" s="1"/>
  <c r="O28" i="24"/>
  <c r="N28" i="24" s="1"/>
  <c r="O27" i="24"/>
  <c r="N27" i="24" s="1"/>
  <c r="O26" i="24"/>
  <c r="N26" i="24" s="1"/>
  <c r="O25" i="24"/>
  <c r="N25" i="24" s="1"/>
  <c r="O24" i="24"/>
  <c r="N24" i="24" s="1"/>
  <c r="O23" i="24"/>
  <c r="N23" i="24" s="1"/>
  <c r="O32" i="24"/>
  <c r="N32" i="24" s="1"/>
  <c r="O22" i="24"/>
  <c r="N22" i="24" s="1"/>
  <c r="N21" i="24"/>
  <c r="M63" i="24" l="1"/>
  <c r="P63" i="24"/>
  <c r="M65" i="24"/>
  <c r="P64" i="24"/>
  <c r="G73" i="24"/>
  <c r="M73" i="24" s="1"/>
  <c r="N79" i="24"/>
  <c r="L78" i="24"/>
  <c r="N85" i="24"/>
  <c r="K85" i="24"/>
  <c r="L84" i="24" s="1"/>
  <c r="N83" i="24"/>
  <c r="L82" i="24"/>
  <c r="N81" i="24"/>
  <c r="L81" i="24"/>
  <c r="P72" i="24" l="1"/>
  <c r="P73" i="24"/>
  <c r="P83" i="24"/>
  <c r="P82" i="24"/>
  <c r="M83" i="24"/>
  <c r="L79" i="24"/>
  <c r="L85" i="24"/>
  <c r="L83" i="24"/>
  <c r="G87" i="24"/>
  <c r="E86" i="24"/>
  <c r="G84" i="24"/>
  <c r="M85" i="24" s="1"/>
  <c r="E84" i="24"/>
  <c r="E82" i="24"/>
  <c r="G80" i="24"/>
  <c r="E80" i="24"/>
  <c r="G78" i="24"/>
  <c r="M79" i="24" s="1"/>
  <c r="E78" i="24"/>
  <c r="E74" i="24"/>
  <c r="E72" i="24"/>
  <c r="G70" i="24"/>
  <c r="E70" i="24"/>
  <c r="E68" i="24"/>
  <c r="E64" i="24"/>
  <c r="E62" i="24"/>
  <c r="E60" i="24"/>
  <c r="G58" i="24"/>
  <c r="E58" i="24"/>
  <c r="G56" i="24"/>
  <c r="E56" i="24"/>
  <c r="O55" i="24"/>
  <c r="N55" i="24" s="1"/>
  <c r="O54" i="24"/>
  <c r="N54" i="24" s="1"/>
  <c r="G54" i="24"/>
  <c r="E54" i="24"/>
  <c r="O53" i="24"/>
  <c r="N53" i="24" s="1"/>
  <c r="O52" i="24"/>
  <c r="N52" i="24" s="1"/>
  <c r="E52" i="24"/>
  <c r="O51" i="24"/>
  <c r="N51" i="24" s="1"/>
  <c r="O50" i="24"/>
  <c r="N50" i="24" s="1"/>
  <c r="E50" i="24"/>
  <c r="O49" i="24"/>
  <c r="N49" i="24" s="1"/>
  <c r="O48" i="24"/>
  <c r="N48" i="24" s="1"/>
  <c r="E48" i="24"/>
  <c r="O47" i="24"/>
  <c r="N47" i="24" s="1"/>
  <c r="O46" i="24"/>
  <c r="N46" i="24" s="1"/>
  <c r="E46" i="24"/>
  <c r="O45" i="24"/>
  <c r="N45" i="24" s="1"/>
  <c r="O44" i="24"/>
  <c r="N44" i="24" s="1"/>
  <c r="F44" i="24"/>
  <c r="F45" i="24" s="1"/>
  <c r="L45" i="24" s="1"/>
  <c r="E44" i="24"/>
  <c r="O43" i="24"/>
  <c r="N43" i="24" s="1"/>
  <c r="G43" i="24"/>
  <c r="M43" i="24" s="1"/>
  <c r="O42" i="24"/>
  <c r="N42" i="24" s="1"/>
  <c r="G42" i="24"/>
  <c r="E42" i="24"/>
  <c r="O41" i="24"/>
  <c r="N41" i="24" s="1"/>
  <c r="O40" i="24"/>
  <c r="N40" i="24" s="1"/>
  <c r="E40" i="24"/>
  <c r="O39" i="24"/>
  <c r="N39" i="24" s="1"/>
  <c r="O38" i="24"/>
  <c r="N38" i="24" s="1"/>
  <c r="E38" i="24"/>
  <c r="O37" i="24"/>
  <c r="N37" i="24" s="1"/>
  <c r="O36" i="24"/>
  <c r="N36" i="24" s="1"/>
  <c r="E36" i="24"/>
  <c r="O35" i="24"/>
  <c r="N35" i="24" s="1"/>
  <c r="O34" i="24"/>
  <c r="N34" i="24" s="1"/>
  <c r="F34" i="24"/>
  <c r="E34" i="24"/>
  <c r="O33" i="24"/>
  <c r="N33" i="24" s="1"/>
  <c r="E32" i="24"/>
  <c r="G30" i="24"/>
  <c r="E30" i="24"/>
  <c r="E28" i="24"/>
  <c r="E26" i="24"/>
  <c r="E24" i="24"/>
  <c r="E22" i="24"/>
  <c r="E20" i="24"/>
  <c r="E15" i="24"/>
  <c r="E14" i="24"/>
  <c r="E9" i="24"/>
  <c r="E6" i="24"/>
  <c r="P85" i="24" l="1"/>
  <c r="P70" i="24"/>
  <c r="P71" i="24"/>
  <c r="P84" i="24"/>
  <c r="P59" i="24"/>
  <c r="P58" i="24"/>
  <c r="P81" i="24"/>
  <c r="P80" i="24"/>
  <c r="P78" i="24"/>
  <c r="P79" i="24"/>
  <c r="P86" i="24"/>
  <c r="P87" i="24"/>
  <c r="P56" i="24"/>
  <c r="P57" i="24"/>
  <c r="M71" i="24"/>
  <c r="M81" i="24"/>
  <c r="M57" i="24"/>
  <c r="M59" i="24"/>
  <c r="M87" i="24"/>
  <c r="G35" i="24"/>
  <c r="F35" i="24"/>
  <c r="G45" i="24"/>
  <c r="G33" i="24"/>
  <c r="F33" i="24"/>
  <c r="L33" i="24" s="1"/>
  <c r="P44" i="24" l="1"/>
  <c r="P45" i="24"/>
  <c r="P33" i="24"/>
  <c r="P32" i="24"/>
  <c r="P34" i="24"/>
  <c r="P35" i="24"/>
  <c r="M35" i="24"/>
  <c r="M33" i="24"/>
  <c r="L35" i="24"/>
  <c r="J25" i="1"/>
  <c r="H27" i="1" s="1"/>
  <c r="I7" i="22" l="1"/>
  <c r="F19" i="21" l="1"/>
  <c r="F20" i="21"/>
  <c r="F21" i="21"/>
  <c r="E21" i="21" s="1"/>
  <c r="J22" i="21"/>
  <c r="J17" i="21"/>
  <c r="J12" i="21"/>
  <c r="J7" i="21"/>
  <c r="F14" i="20"/>
  <c r="G75" i="24" l="1"/>
  <c r="F10" i="21"/>
  <c r="E10" i="21" s="1"/>
  <c r="E20" i="21"/>
  <c r="F9" i="21"/>
  <c r="E19" i="21"/>
  <c r="I22" i="20"/>
  <c r="I17" i="20"/>
  <c r="I12" i="20"/>
  <c r="I7" i="20"/>
  <c r="F30" i="19"/>
  <c r="F29" i="19" s="1"/>
  <c r="F31" i="19" s="1"/>
  <c r="F24" i="19"/>
  <c r="H62" i="24"/>
  <c r="F22" i="19"/>
  <c r="F21" i="19"/>
  <c r="F19" i="19"/>
  <c r="E17" i="19"/>
  <c r="E16" i="19"/>
  <c r="E15" i="19"/>
  <c r="P75" i="24" l="1"/>
  <c r="P74" i="24"/>
  <c r="M75" i="24"/>
  <c r="F11" i="21"/>
  <c r="E11" i="21" s="1"/>
  <c r="E9" i="21"/>
  <c r="F27" i="19"/>
  <c r="H64" i="24"/>
  <c r="F25" i="19"/>
  <c r="F26" i="19" s="1"/>
  <c r="E13" i="19"/>
  <c r="G60" i="24" s="1"/>
  <c r="E14" i="19"/>
  <c r="I32" i="19"/>
  <c r="I27" i="19"/>
  <c r="I22" i="19"/>
  <c r="H60" i="24"/>
  <c r="I12" i="19"/>
  <c r="H58" i="24"/>
  <c r="F9" i="19"/>
  <c r="I7" i="19"/>
  <c r="H56" i="24"/>
  <c r="H30" i="24"/>
  <c r="I27" i="18"/>
  <c r="E26" i="18"/>
  <c r="F20" i="18"/>
  <c r="F19" i="18" s="1"/>
  <c r="F21" i="18" s="1"/>
  <c r="E22" i="18"/>
  <c r="E21" i="18"/>
  <c r="E20" i="18"/>
  <c r="E19" i="18"/>
  <c r="E18" i="18"/>
  <c r="F16" i="18"/>
  <c r="E17" i="18"/>
  <c r="E16" i="18"/>
  <c r="E15" i="18"/>
  <c r="E14" i="18"/>
  <c r="E13" i="18"/>
  <c r="G24" i="24" s="1"/>
  <c r="E10" i="18"/>
  <c r="E9" i="18"/>
  <c r="E8" i="18"/>
  <c r="G22" i="24" s="1"/>
  <c r="F7" i="18"/>
  <c r="F5" i="18" s="1"/>
  <c r="E6" i="18"/>
  <c r="E5" i="18"/>
  <c r="E4" i="18"/>
  <c r="E3" i="18"/>
  <c r="G20" i="24" s="1"/>
  <c r="I17" i="18" l="1"/>
  <c r="G26" i="24"/>
  <c r="I22" i="18"/>
  <c r="I17" i="19"/>
  <c r="F6" i="18"/>
  <c r="I32" i="18" l="1"/>
  <c r="F14" i="18"/>
  <c r="I12" i="18"/>
  <c r="I7" i="18"/>
  <c r="F4" i="18"/>
  <c r="H20" i="24" l="1"/>
  <c r="E47" i="1" l="1"/>
  <c r="E45" i="1"/>
  <c r="I47" i="1" s="1"/>
  <c r="E46" i="1"/>
  <c r="E44" i="1"/>
  <c r="E57" i="1"/>
  <c r="E55" i="1"/>
  <c r="E56" i="1"/>
  <c r="E54" i="1"/>
  <c r="E53" i="1"/>
  <c r="E52" i="1"/>
  <c r="E50" i="1"/>
  <c r="E51" i="1"/>
  <c r="E49" i="1"/>
  <c r="E48" i="1"/>
  <c r="E42" i="1"/>
  <c r="E40" i="1"/>
  <c r="E41" i="1"/>
  <c r="E39" i="1"/>
  <c r="E38" i="1"/>
  <c r="E27" i="1"/>
  <c r="E25" i="1"/>
  <c r="E26" i="1"/>
  <c r="E24" i="1"/>
  <c r="E23" i="1"/>
  <c r="E22" i="1"/>
  <c r="E20" i="1"/>
  <c r="E21" i="1"/>
  <c r="E19" i="1"/>
  <c r="E18" i="1"/>
  <c r="E17" i="1"/>
  <c r="E15" i="1"/>
  <c r="E16" i="1"/>
  <c r="E14" i="1"/>
  <c r="E13" i="1"/>
  <c r="E12" i="1"/>
  <c r="E10" i="1"/>
  <c r="E11" i="1"/>
  <c r="E8" i="1"/>
  <c r="I12" i="1" s="1"/>
  <c r="G48" i="24" l="1"/>
  <c r="G38" i="24"/>
  <c r="G46" i="24"/>
  <c r="G40" i="24"/>
  <c r="I27" i="1"/>
  <c r="J66" i="1" s="1"/>
  <c r="G36" i="24"/>
  <c r="G52" i="24"/>
  <c r="G34" i="24"/>
  <c r="G50" i="24"/>
  <c r="E3" i="1"/>
  <c r="I29" i="19" l="1"/>
  <c r="H32" i="19" s="1"/>
  <c r="H66" i="24" s="1"/>
  <c r="E7" i="1"/>
  <c r="E6" i="1"/>
  <c r="E5" i="1"/>
  <c r="E4" i="1"/>
  <c r="H33" i="19" l="1"/>
  <c r="H42" i="24" l="1"/>
  <c r="H36" i="24" l="1"/>
  <c r="J62" i="1"/>
  <c r="J57" i="1"/>
  <c r="J52" i="1"/>
  <c r="J47" i="1"/>
  <c r="J37" i="1"/>
  <c r="J32" i="1"/>
  <c r="J59" i="1" l="1"/>
  <c r="H62" i="1" s="1"/>
  <c r="F55" i="1"/>
  <c r="F56" i="1"/>
  <c r="J49" i="1"/>
  <c r="F52" i="1"/>
  <c r="H50" i="24" s="1"/>
  <c r="F47" i="1"/>
  <c r="H48" i="24" s="1"/>
  <c r="F46" i="1"/>
  <c r="F44" i="1"/>
  <c r="F39" i="1"/>
  <c r="F42" i="1"/>
  <c r="J5" i="21" l="1"/>
  <c r="F54" i="1"/>
  <c r="H57" i="1"/>
  <c r="F41" i="1"/>
  <c r="H46" i="24"/>
  <c r="H37" i="1" l="1"/>
  <c r="H52" i="24"/>
  <c r="J27" i="1"/>
  <c r="F31" i="1"/>
  <c r="J24" i="1"/>
  <c r="F24" i="1"/>
  <c r="F25" i="1"/>
  <c r="F26" i="1"/>
  <c r="J22" i="1"/>
  <c r="F19" i="1"/>
  <c r="F20" i="1"/>
  <c r="F21" i="1"/>
  <c r="F17" i="1"/>
  <c r="F16" i="1"/>
  <c r="F14" i="1"/>
  <c r="I63" i="1" l="1"/>
  <c r="I64" i="1" s="1"/>
  <c r="H63" i="1" s="1"/>
  <c r="I6" i="20"/>
  <c r="H27" i="20" s="1"/>
  <c r="H38" i="24"/>
  <c r="F12" i="1" l="1"/>
  <c r="F11" i="1"/>
  <c r="F9" i="1"/>
  <c r="F4" i="1"/>
  <c r="F7" i="1"/>
  <c r="F6" i="1"/>
  <c r="H32" i="24" l="1"/>
  <c r="H34" i="24"/>
  <c r="H44" i="24" l="1"/>
  <c r="M45" i="24" s="1"/>
  <c r="H24" i="24" l="1"/>
  <c r="H28" i="24"/>
  <c r="H26" i="24" l="1"/>
  <c r="H54" i="24" l="1"/>
  <c r="M55" i="24" s="1"/>
  <c r="H40" i="24"/>
  <c r="J10" i="21"/>
  <c r="J15" i="21"/>
  <c r="J20" i="21"/>
  <c r="H78" i="24" l="1"/>
  <c r="I65" i="1"/>
  <c r="H89" i="24" l="1"/>
  <c r="I5" i="20"/>
  <c r="J5" i="1"/>
  <c r="H22" i="20" l="1"/>
  <c r="H74" i="24" s="1"/>
  <c r="H7" i="20"/>
  <c r="H76" i="24"/>
  <c r="H17" i="20"/>
  <c r="H72" i="24" s="1"/>
  <c r="I19" i="20"/>
  <c r="H12" i="20"/>
  <c r="H70" i="24" s="1"/>
  <c r="H68" i="24" l="1"/>
  <c r="H28" i="20"/>
  <c r="J6" i="21"/>
  <c r="H82" i="24" l="1"/>
  <c r="J19" i="21"/>
  <c r="J9" i="21" l="1"/>
  <c r="H23" i="21"/>
  <c r="J14" i="21"/>
  <c r="H84" i="24"/>
  <c r="H80" i="24"/>
  <c r="J60" i="1"/>
  <c r="I4" i="22" l="1"/>
  <c r="H7" i="22" s="1"/>
  <c r="H8" i="22" l="1"/>
  <c r="H86" i="24"/>
  <c r="H91" i="24" s="1"/>
  <c r="F91" i="24" l="1"/>
  <c r="H1" i="18" l="1"/>
  <c r="H1" i="1"/>
  <c r="H1" i="20"/>
  <c r="H1" i="19"/>
  <c r="H1" i="21"/>
  <c r="H1" i="22"/>
</calcChain>
</file>

<file path=xl/sharedStrings.xml><?xml version="1.0" encoding="utf-8"?>
<sst xmlns="http://schemas.openxmlformats.org/spreadsheetml/2006/main" count="930" uniqueCount="490">
  <si>
    <t>Willkommen zum Excel-Tool zur Reduktion der Klimabelastung der Menüs der kantonalen Verpflegungsbetriebe!</t>
  </si>
  <si>
    <t>Grunddaten zum Verpflegungsbetrieb</t>
  </si>
  <si>
    <t>Name des Unternehmens:</t>
  </si>
  <si>
    <t>Datum:</t>
  </si>
  <si>
    <t>Betrachtungszeitraum</t>
  </si>
  <si>
    <t>Von:</t>
  </si>
  <si>
    <t>Bis:</t>
  </si>
  <si>
    <t>Total verkaufte/ausgebene Menüs:</t>
  </si>
  <si>
    <t>A</t>
  </si>
  <si>
    <t>Milchprodukte</t>
  </si>
  <si>
    <t>Totale Reduktion:</t>
  </si>
  <si>
    <t>Nr.</t>
  </si>
  <si>
    <t>Reduktionsoption</t>
  </si>
  <si>
    <t>Intensität</t>
  </si>
  <si>
    <t>Beschreibung</t>
  </si>
  <si>
    <t>Noch zu Verfügung stehende Menge in Gramm / Milliliter [g/ml]</t>
  </si>
  <si>
    <t>Impact 
(CO2-eq-Reduktion)</t>
  </si>
  <si>
    <t>Wahl</t>
  </si>
  <si>
    <t>Reduktion</t>
  </si>
  <si>
    <t>Zahlenfeld</t>
  </si>
  <si>
    <t>Kommentare</t>
  </si>
  <si>
    <t>Reduktion Milch/Joghurt (in Menüs)</t>
  </si>
  <si>
    <t>Keine Reduktion</t>
  </si>
  <si>
    <t>Bezugsziffer für Buttons</t>
  </si>
  <si>
    <t>Baseline: 13ml Milch oder Joghurt pro Menü</t>
  </si>
  <si>
    <t>25% Milch/Joghurt durch vegane Produkte ersetzen</t>
  </si>
  <si>
    <t>Korrektur für das ganze 3A nach Kommentar von Eaternity: Wenn in 33E Vegane Auswahl getätigt wird, reduziert sich die hier ausgewählte Menge prozentual zu der Reduktion in 33E, also zusätzliche Effekt zwischen veganen und vegetarischen Optionen</t>
  </si>
  <si>
    <r>
      <rPr>
        <b/>
        <sz val="11"/>
        <rFont val="Helvetica Neue"/>
      </rPr>
      <t>Teilweise kombinierbar mit Option 18:</t>
    </r>
    <r>
      <rPr>
        <sz val="11"/>
        <rFont val="Helvetica Neue"/>
      </rPr>
      <t xml:space="preserve"> Die CO2-Reduktion dieser Option wird reduziert, wenn zusätzlich auch Option 18 ausgewählt wird.</t>
    </r>
  </si>
  <si>
    <t>B</t>
  </si>
  <si>
    <t>50% Milch/Joghurt durch vegane Produkte ersetzen</t>
  </si>
  <si>
    <t>Effektive Auswahl, wichtig für 3E zur Korrektur dort</t>
  </si>
  <si>
    <t>C</t>
  </si>
  <si>
    <t>75% Milch/Joghurt durch vegane Produkte ersetzen</t>
  </si>
  <si>
    <t>MAX</t>
  </si>
  <si>
    <t>100% Milch/Joghurt durch vegane Produkte ersetzen</t>
  </si>
  <si>
    <t>Gewählte prozentuale Reduktion</t>
  </si>
  <si>
    <t>Reduktion Rahm/Sahne</t>
  </si>
  <si>
    <t>Baseline: 9ml Rahm pro Menü</t>
  </si>
  <si>
    <t xml:space="preserve">25% weniger Rahm/Sahne </t>
  </si>
  <si>
    <r>
      <t>Nicht kombinierbar mit Option 6:</t>
    </r>
    <r>
      <rPr>
        <sz val="11"/>
        <color theme="1"/>
        <rFont val="Helvetica Neue"/>
        <family val="2"/>
      </rPr>
      <t xml:space="preserve"> Wird diese Option gewählt, ist Option 6 nicht anwählbar.
</t>
    </r>
    <r>
      <rPr>
        <b/>
        <sz val="11"/>
        <color theme="1"/>
        <rFont val="Helvetica Neue"/>
      </rPr>
      <t xml:space="preserve">Teilweise kombinierbar mit Option 18: </t>
    </r>
    <r>
      <rPr>
        <sz val="11"/>
        <color theme="1"/>
        <rFont val="Helvetica Neue"/>
        <family val="2"/>
      </rPr>
      <t>Die CO2-Reduktion dieser Option wird reduziert, wenn zusätzlich auch Option 18 ausgewählt wird.</t>
    </r>
  </si>
  <si>
    <t xml:space="preserve">50% weniger Rahm/Sahne </t>
  </si>
  <si>
    <t>Aller Rahm/Sahne durch vegane Produkte ersetzen (Total 4.5ml pro Menü)</t>
  </si>
  <si>
    <t>50% weniger + Restlicher Rahm/Sahne durch Milch ersetzen (selbe ml)</t>
  </si>
  <si>
    <t>Reduktion Butter</t>
  </si>
  <si>
    <t>Baseline: 1g Butter pro Menü</t>
  </si>
  <si>
    <t>25% Butter durch Rapsöl ersetzen</t>
  </si>
  <si>
    <t>50% Butter durch Rapsöl ersetzen</t>
  </si>
  <si>
    <t>75% Butter durch Rapsöl ersetzen</t>
  </si>
  <si>
    <t>100% Butter durch Rapsöl ersetzen</t>
  </si>
  <si>
    <t>Reduktion Käse</t>
  </si>
  <si>
    <t>Baseline: 11g Käse pro Menü</t>
  </si>
  <si>
    <r>
      <rPr>
        <sz val="11"/>
        <color rgb="FF000000"/>
        <rFont val="Helvetica Neue"/>
        <family val="2"/>
      </rPr>
      <t>25% Käse durch vegane Produkte ersetzen</t>
    </r>
  </si>
  <si>
    <r>
      <t>Nicht kombinierbar mit Optionen 5 &amp; 6:</t>
    </r>
    <r>
      <rPr>
        <sz val="11"/>
        <color theme="1"/>
        <rFont val="Helvetica Neue"/>
        <family val="2"/>
      </rPr>
      <t xml:space="preserve"> Wird diese Option gewählt, sind die Optionen 5 &amp; 6 nicht anwählbar.
</t>
    </r>
    <r>
      <rPr>
        <b/>
        <sz val="11"/>
        <color theme="1"/>
        <rFont val="Helvetica Neue"/>
      </rPr>
      <t xml:space="preserve">Teilweise kombinierbar mit Option 18: </t>
    </r>
    <r>
      <rPr>
        <sz val="11"/>
        <color theme="1"/>
        <rFont val="Helvetica Neue"/>
        <family val="2"/>
      </rPr>
      <t>Die CO2-Reduktion dieser Option wird reduziert, wenn zusätzlich auch Option 18 ausgewählt wird.</t>
    </r>
  </si>
  <si>
    <t>50% Käse durch vegane Produkte ersetzen</t>
  </si>
  <si>
    <t>75% Käse durch vegane Produkte ersetzen</t>
  </si>
  <si>
    <t>100% Käse durch vegane Produkte ersetzen</t>
  </si>
  <si>
    <t>Reduktion Hartkäse</t>
  </si>
  <si>
    <t>Baseline: 6g Hartkäse pro Menü</t>
  </si>
  <si>
    <t>30% Hartkäse durch Weichkäse ersetzen</t>
  </si>
  <si>
    <t>Test ob Nr. 4 gewählt</t>
  </si>
  <si>
    <r>
      <t xml:space="preserve">Nicht kombinierbar mit Optionen 4 &amp; 6: </t>
    </r>
    <r>
      <rPr>
        <sz val="11"/>
        <color theme="1"/>
        <rFont val="Helvetica Neue"/>
        <family val="2"/>
      </rPr>
      <t xml:space="preserve">Wird diese Option gewählt, sind die Optionen 4 &amp; 6 nicht anwählbar.
</t>
    </r>
    <r>
      <rPr>
        <b/>
        <sz val="11"/>
        <color theme="1"/>
        <rFont val="Helvetica Neue"/>
      </rPr>
      <t xml:space="preserve">Teilweise kombinierbar mit Option 18: </t>
    </r>
    <r>
      <rPr>
        <sz val="11"/>
        <color theme="1"/>
        <rFont val="Helvetica Neue"/>
        <family val="2"/>
      </rPr>
      <t>Die CO2-Reduktion dieser Option wird reduziert, wenn zusätzlich auch Option 18 ausgewählt wird.</t>
    </r>
  </si>
  <si>
    <t>75% Hartkäse durch Weichkäse ersetzen</t>
  </si>
  <si>
    <t>75% Hartkäse durch vegane Produkte ersetzen</t>
  </si>
  <si>
    <t>Aller Hartkäse durch vegane Produkte ersetzen</t>
  </si>
  <si>
    <t>Reduktion Milchprodukte gesamt</t>
  </si>
  <si>
    <r>
      <rPr>
        <b/>
        <sz val="11"/>
        <rFont val="Helvetica Neue"/>
        <family val="2"/>
      </rPr>
      <t>1 g Vollmilch = 1 g Milch-Äquivalente</t>
    </r>
    <r>
      <rPr>
        <sz val="11"/>
        <rFont val="Helvetica Neue"/>
        <family val="2"/>
      </rPr>
      <t xml:space="preserve">
</t>
    </r>
    <r>
      <rPr>
        <b/>
        <sz val="11"/>
        <rFont val="Helvetica Neue"/>
        <family val="2"/>
      </rPr>
      <t>Faktoren für Milchprodukte:</t>
    </r>
    <r>
      <rPr>
        <sz val="11"/>
        <rFont val="Helvetica Neue"/>
        <family val="2"/>
      </rPr>
      <t xml:space="preserve">
1 g Butter = 11.8 g Milch-Äquivalente
1 g Rahm = 4.2 g Milch-Äquivalente
1 g Käse = 8.1 g Milch-Äquivalente</t>
    </r>
  </si>
  <si>
    <t>Anteil Milch-Äquivalente (für Rahm, Käse, Butter) in Gramm pro durchschnittlich verkauftem Menü.
Baseline: 250g Milch-Äquivalente / Menü</t>
  </si>
  <si>
    <t>20% weniger Milch-Äquivalente pro verkauftem Menü</t>
  </si>
  <si>
    <t>Reduktion, die durch Nr. 18 hervorgerufen wird.</t>
  </si>
  <si>
    <r>
      <rPr>
        <b/>
        <sz val="11"/>
        <color theme="1"/>
        <rFont val="Helvetica Neue"/>
        <family val="2"/>
      </rPr>
      <t>Nicht kombinierbar mit Optionen 2 bis 5:</t>
    </r>
    <r>
      <rPr>
        <sz val="11"/>
        <color theme="1"/>
        <rFont val="Helvetica Neue"/>
        <family val="2"/>
      </rPr>
      <t xml:space="preserve"> Wird diese Option gewählt, sind die Optionen 1 bis 5 nicht mehr anwählbar.
</t>
    </r>
    <r>
      <rPr>
        <b/>
        <sz val="11"/>
        <color theme="1"/>
        <rFont val="Helvetica Neue"/>
      </rPr>
      <t xml:space="preserve">Teilweise kombinierbar mit Option 18: </t>
    </r>
    <r>
      <rPr>
        <sz val="11"/>
        <color theme="1"/>
        <rFont val="Helvetica Neue"/>
        <family val="2"/>
      </rPr>
      <t>Die CO2-Reduktion dieser Option wird reduziert, wenn zusätzlich auch Option 18 ausgewählt wird.</t>
    </r>
  </si>
  <si>
    <t>36% weniger Milch-Äquivalente pro verkauftem Menü</t>
  </si>
  <si>
    <t>Test, ob Nr. 2-5 &gt;1</t>
  </si>
  <si>
    <t>52% weniger Milch-Äquivalente pro verkauftem Menü</t>
  </si>
  <si>
    <t>66.4% weniger Milch-Äquivalente pro verkauftem Menü</t>
  </si>
  <si>
    <t>Die Gesamtreduktion kann aufgrund der Auswahl in 3E kleiner ausfallen (Doppelzählung wird vermieden).</t>
  </si>
  <si>
    <t>Fleisch/Fisch</t>
  </si>
  <si>
    <t>Noch zu Verfügung stehende Menge in Gramm [g]</t>
  </si>
  <si>
    <t>Reduktion [%]</t>
  </si>
  <si>
    <t>Fleischreduktion [g]</t>
  </si>
  <si>
    <t>Reduktion Rind</t>
  </si>
  <si>
    <t>Baseline: 10.1g Rind/Kalb pro Menü</t>
  </si>
  <si>
    <t>25% Rind/Kalb durch Geflügel/Schwein ersetzen</t>
  </si>
  <si>
    <t>Korrekturfaktor für das ganze 3B: Prozentuale Verringerung, je nachdem, was in 3E ausgewählt wurde</t>
  </si>
  <si>
    <r>
      <t xml:space="preserve">In Relation zu Optionen 8 &amp; 9: </t>
    </r>
    <r>
      <rPr>
        <sz val="11"/>
        <color theme="1"/>
        <rFont val="Helvetica Neue"/>
      </rPr>
      <t xml:space="preserve">Insgesamt darf maximal 100% des roten Fleischs substituiert werden. </t>
    </r>
  </si>
  <si>
    <t>50% Rind/Kalb durch Geflügel/Schwein ersetzen</t>
  </si>
  <si>
    <t>80% Rind/Kalb durch Geflügel/Schwein ersetzen</t>
  </si>
  <si>
    <t>100% Rind/Kalb durch Geflügel/Schwein ersetzen</t>
  </si>
  <si>
    <t>Ausnahme</t>
  </si>
  <si>
    <t>Test für mehr als 100% Reduktion von Rind</t>
  </si>
  <si>
    <r>
      <t xml:space="preserve">In Relation zu Optionen 7 &amp; 9: </t>
    </r>
    <r>
      <rPr>
        <sz val="11"/>
        <color theme="1"/>
        <rFont val="Helvetica Neue"/>
      </rPr>
      <t xml:space="preserve">Insgesamt darf maximal 100% des roten Fleischs substituiert werden. </t>
    </r>
  </si>
  <si>
    <t>Reduktion rotes Fleisch (Rind/Kalb/Schwein durch Geflügel ersetzen)</t>
  </si>
  <si>
    <t>Baseline: 17.9g Rind/Kalb/Schwein pro Menü</t>
  </si>
  <si>
    <t>25% Rind/Kalb/Schwein durch Geflügel ersetzen</t>
  </si>
  <si>
    <r>
      <t xml:space="preserve">In Relation zu Optionen 7 &amp; 8: </t>
    </r>
    <r>
      <rPr>
        <sz val="11"/>
        <color theme="1"/>
        <rFont val="Helvetica Neue"/>
      </rPr>
      <t xml:space="preserve">Insgesamt darf maximal 100% des roten Fleischs substituiert werden. </t>
    </r>
  </si>
  <si>
    <t>50% Rind/Kalb/Schwein durch Geflügel ersetzen</t>
  </si>
  <si>
    <t>80% Rind/Kalb/Schwein durch Geflügel ersetzen</t>
  </si>
  <si>
    <t>100% Rind/Kalb/Schwein durch Geflügel ersetzen</t>
  </si>
  <si>
    <t>Reduktion Prime-Stücke rotes Fleisch</t>
  </si>
  <si>
    <t>Baseline: 8.1g pro Menü</t>
  </si>
  <si>
    <t>25% der Prime-Stücke (Schwein und Rind) durch Geflügel ersetzen</t>
  </si>
  <si>
    <r>
      <rPr>
        <b/>
        <sz val="11"/>
        <color theme="1"/>
        <rFont val="Helvetica Neue"/>
        <family val="2"/>
      </rPr>
      <t xml:space="preserve">In Relation zu Optionen 7/8/9: </t>
    </r>
    <r>
      <rPr>
        <sz val="11"/>
        <color theme="1"/>
        <rFont val="Helvetica Neue"/>
      </rPr>
      <t>D</t>
    </r>
    <r>
      <rPr>
        <sz val="11"/>
        <color theme="1"/>
        <rFont val="Helvetica Neue"/>
        <family val="2"/>
      </rPr>
      <t>ie CO2-Reduktion dieser Option wird reduziert, wenn zusätzlich auch Optionen 7/8/9 ausgewählt wird.</t>
    </r>
  </si>
  <si>
    <t>50% der Prime-Stücke (Schwein und Rind) durch Geflügel ersetzen</t>
  </si>
  <si>
    <t>80% der Prime-Stücke (Schwein und Rind) durch Geflügel ersetzen</t>
  </si>
  <si>
    <t>100% der Prime-Stücke (Schwein und Rind) durch Geflügel ersetzen</t>
  </si>
  <si>
    <t>Reduktion Fleisch (inkl. Fisch) gesamt</t>
  </si>
  <si>
    <t>Baseline: 56g Fleisch (inkl. Fisch) pro Menü</t>
  </si>
  <si>
    <t>Test ob 7-10 ausgewählt werden oder nicht</t>
  </si>
  <si>
    <r>
      <t xml:space="preserve">Nicht kombinierbar mit Optionen 7-10, 12-16, 18, 30-33: </t>
    </r>
    <r>
      <rPr>
        <sz val="11"/>
        <color theme="1"/>
        <rFont val="Helvetica Neue"/>
        <family val="2"/>
      </rPr>
      <t>Wird eine der genannten Optionen ausgewählt, ist Option 11 nicht anwählbar.</t>
    </r>
  </si>
  <si>
    <t>Test ob eines von 7-10+12-16+18&gt;1 ist</t>
  </si>
  <si>
    <t>Test ob eines von 30-33&gt;1 ist</t>
  </si>
  <si>
    <t>Nose-to-Tail Fleisch / Surplus</t>
  </si>
  <si>
    <t>Vom gesamten Fleischeinkauf sind weniger als 1.5% Surplus</t>
  </si>
  <si>
    <t>-</t>
  </si>
  <si>
    <t>Baseline: 0g pro Menü</t>
  </si>
  <si>
    <t>Vom gesamten Fleischeinkauf sind 1.5% Surplus</t>
  </si>
  <si>
    <r>
      <rPr>
        <b/>
        <sz val="10"/>
        <color theme="1"/>
        <rFont val="Helvetica Neue"/>
        <family val="2"/>
      </rPr>
      <t>Für Intensität MAX:</t>
    </r>
    <r>
      <rPr>
        <sz val="10"/>
        <color theme="1"/>
        <rFont val="Helvetica Neue"/>
        <family val="2"/>
      </rPr>
      <t xml:space="preserve"> Beim Fleischeinkauf liegt der Anteil von Surplus-Stücken über dem relativen Produktionsanteil. 
Relativer Produktionsanteil von Surplus-Stücken:
</t>
    </r>
    <r>
      <rPr>
        <b/>
        <sz val="10"/>
        <color theme="1"/>
        <rFont val="Helvetica Neue"/>
      </rPr>
      <t>Kalb:</t>
    </r>
    <r>
      <rPr>
        <sz val="10"/>
        <color theme="1"/>
        <rFont val="Helvetica Neue"/>
        <family val="2"/>
      </rPr>
      <t xml:space="preserve"> 10.5%, </t>
    </r>
    <r>
      <rPr>
        <b/>
        <sz val="10"/>
        <color theme="1"/>
        <rFont val="Helvetica Neue"/>
      </rPr>
      <t>Rind:</t>
    </r>
    <r>
      <rPr>
        <sz val="10"/>
        <color theme="1"/>
        <rFont val="Helvetica Neue"/>
        <family val="2"/>
      </rPr>
      <t xml:space="preserve"> 9.4%, </t>
    </r>
    <r>
      <rPr>
        <b/>
        <sz val="10"/>
        <color theme="1"/>
        <rFont val="Helvetica Neue"/>
      </rPr>
      <t>Poulet:</t>
    </r>
    <r>
      <rPr>
        <sz val="10"/>
        <color theme="1"/>
        <rFont val="Helvetica Neue"/>
        <family val="2"/>
      </rPr>
      <t xml:space="preserve"> 3.3%, </t>
    </r>
    <r>
      <rPr>
        <b/>
        <sz val="10"/>
        <color theme="1"/>
        <rFont val="Helvetica Neue"/>
      </rPr>
      <t>Schwein:</t>
    </r>
    <r>
      <rPr>
        <sz val="10"/>
        <color theme="1"/>
        <rFont val="Helvetica Neue"/>
        <family val="2"/>
      </rPr>
      <t xml:space="preserve"> 2% </t>
    </r>
  </si>
  <si>
    <t>Vom gesamten Fleischeinkauf sind 2.6% Surplus</t>
  </si>
  <si>
    <t>Vom gesamten Fleischeinkauf sind 3% Surplus</t>
  </si>
  <si>
    <t>Beim Fleischeinkauf liegt der Anteil von Surplus-Stücken über dem relativen Produktionsanteil</t>
  </si>
  <si>
    <t>Verhältnis rotes zu weissem Fleisch (inkl. Fisch)</t>
  </si>
  <si>
    <t>Baseline:
- Anteil Fleisch pro Menü: 56g
- Verhältnis rot/weisses Fleisch: 1:2 (19g rot / 37g weiss)</t>
  </si>
  <si>
    <t>56g Fleisch pro Menü, Verhältnis rot/weiss = 1:3</t>
  </si>
  <si>
    <r>
      <rPr>
        <b/>
        <sz val="10"/>
        <color theme="1"/>
        <rFont val="Helvetica Neue"/>
        <family val="2"/>
      </rPr>
      <t xml:space="preserve">In Relation zu Optionen 7-10 + 12 + 14-17: </t>
    </r>
    <r>
      <rPr>
        <sz val="10"/>
        <rFont val="Helvetica Neue"/>
      </rPr>
      <t>Auswahl von Option 13 nu</t>
    </r>
    <r>
      <rPr>
        <sz val="10"/>
        <color theme="1"/>
        <rFont val="Helvetica Neue"/>
        <family val="2"/>
      </rPr>
      <t>r möglich, wenn bei Optionen 7-10 + 12 + 14-17 eine einheitliche Intensität (z.B. IMMER Intensität A) gewählt wurde. Dann ist auch hier die einheitlich gewählte Intensität möglich.</t>
    </r>
  </si>
  <si>
    <t>56g Fleisch pro Menü, Verhältnis rot/weiss = 1:4</t>
  </si>
  <si>
    <t>56g Fleisch pro Menü, Verhältnis rot/weiss = 1:5</t>
  </si>
  <si>
    <t>56g Fleisch pro Menü, 100% weisses Fleisch</t>
  </si>
  <si>
    <t>Reduktion Schwein</t>
  </si>
  <si>
    <t>Baseline: 7.8g Schwein pro Menü</t>
  </si>
  <si>
    <t>25% des Schweinefleischs durch Geflügel ersetzen</t>
  </si>
  <si>
    <t>Test, wenn Reduktion in 9 und 14 grösser als 1 sind, dann wird 14 ausgeblendet</t>
  </si>
  <si>
    <r>
      <rPr>
        <b/>
        <sz val="10"/>
        <rFont val="Helvetica Neue"/>
      </rPr>
      <t xml:space="preserve">Nur teilweise kombinierbar mit Option 9: </t>
    </r>
    <r>
      <rPr>
        <sz val="10"/>
        <rFont val="Helvetica Neue"/>
      </rPr>
      <t xml:space="preserve">Die Summe der Reduktionen zwischen der Nr. 9 und der Nr. 14 darf 100% nicht überschreiten. Ansonsten wird die Option 14 auf 0 gesetzt.
</t>
    </r>
    <r>
      <rPr>
        <b/>
        <sz val="10"/>
        <rFont val="Helvetica Neue"/>
      </rPr>
      <t>In Relation zu Option 10:</t>
    </r>
    <r>
      <rPr>
        <sz val="10"/>
        <rFont val="Helvetica Neue"/>
      </rPr>
      <t xml:space="preserve"> Wird Option 10 ausgewählt, verringert sich die hier anrechenbare Menge.</t>
    </r>
  </si>
  <si>
    <t>50% des Schweinefleischs durch Geflügel ersetzen</t>
  </si>
  <si>
    <t>Kombination mit 10 nach Kommentar von Eaternity:
Die Einsparung bei Option 14 reduziert sich und zwar jeweils um 18% der Einsparung von Option 10. Zum Beispiel wird bei beiden Optionen die Max-Variante ausgewählt dann 0.18*19.20% = 3.456% durch das Ersetzen vom Prime Schweinefleisch eingespart. Diese 3.456% muss dann von der Einsparung bei Option 14 abgezogen werden (5.74% - 3.456% = 2.284%)</t>
  </si>
  <si>
    <t>80% des Schweinefleischs durch Geflügel ersetzen</t>
  </si>
  <si>
    <t>100% des Schweinefleischs durch Geflügel ersetzen</t>
  </si>
  <si>
    <t>Reduktion Geflügel / weisses Fleisch</t>
  </si>
  <si>
    <t>Baseline: 22.6g pro Menü</t>
  </si>
  <si>
    <t>Nose-to-Tail Geflügel / weisses Fleisch</t>
  </si>
  <si>
    <t>Baseline: 13g pro Menü</t>
  </si>
  <si>
    <t>25% Poulet-Filet-Stücke durch Poulet-Flügel ersetzen</t>
  </si>
  <si>
    <t>Ob Summe 15 + 16 &gt;=22.6g</t>
  </si>
  <si>
    <r>
      <t xml:space="preserve">In Relation zu Option 15: </t>
    </r>
    <r>
      <rPr>
        <sz val="11"/>
        <color theme="1"/>
        <rFont val="Helvetica Neue"/>
        <family val="2"/>
      </rPr>
      <t>Die CO2-Reduktion dieser Option wird reduziert, wenn zusätzlich auch Option 15 ausgewählt wird.</t>
    </r>
  </si>
  <si>
    <t>50% Poulet-Filet-Stücke durch Poulet-Flügel ersetzen</t>
  </si>
  <si>
    <t>80% Poulet-Filet-Stücke durch Poulet-Flügel ersetzen</t>
  </si>
  <si>
    <t>100% Poulet-Filet-Stücke durch Poulet-Flügel ersetzen</t>
  </si>
  <si>
    <t>Vermeidung Zuchtfisch</t>
  </si>
  <si>
    <t>Baseline: 7g Zuchtfisch pro Menü</t>
  </si>
  <si>
    <t>25% kommt nicht aus Zucht</t>
  </si>
  <si>
    <t>50% kommt nicht aus Zucht</t>
  </si>
  <si>
    <t>80% kommt nicht aus Zucht</t>
  </si>
  <si>
    <t>100% kommt nicht aus Zucht</t>
  </si>
  <si>
    <t>Reduktion Fleisch (inkl. Fisch) und Milch gesamt</t>
  </si>
  <si>
    <t>Baseline: 30g Milchprodukte + 56g Fleisch pro Menü</t>
  </si>
  <si>
    <t>20% der verkauften Gerichte sind vegan</t>
  </si>
  <si>
    <t>26 g Milchprod.
49 g Fleischprod.</t>
  </si>
  <si>
    <t>Auswahl, ob Fleisch oder Milch sonstwo reduziert wurde</t>
  </si>
  <si>
    <r>
      <t xml:space="preserve">Nicht kombinierbar mit Optionen 7-17, 31, 33: </t>
    </r>
    <r>
      <rPr>
        <sz val="11"/>
        <rFont val="Helvetica Neue"/>
        <family val="2"/>
      </rPr>
      <t>Wird eine der genannten Optionen ausgewählt, ist Option 18 nicht anwählbar.
Diese Option reduziert die in 3A anrechenbare CO2-Reduktion proportional zur hier gewählten Intensität.</t>
    </r>
  </si>
  <si>
    <t>35% der verkauften Gerichte sind vegan</t>
  </si>
  <si>
    <t>21 g Milchprod.
40 g Fleischprod.</t>
  </si>
  <si>
    <t>Auswahl, ob 31 oder 33 ausgewählt wurde.</t>
  </si>
  <si>
    <t>50% der verkauften Gerichte sind vegan</t>
  </si>
  <si>
    <t>16 g Milchprod.
31 g Fleischprod.</t>
  </si>
  <si>
    <t>Berechnung des Wertes D von Manuel</t>
  </si>
  <si>
    <t>100% der verkauften Gerichte sind vegan</t>
  </si>
  <si>
    <t>&lt;- Variable C von Manuel</t>
  </si>
  <si>
    <t>Die Gesamtreduktion kann aufgrund der Auswahl in 3E kleiner/negativ ausfallen (Doppelzählung wird vermieden).</t>
  </si>
  <si>
    <t>&lt;- Hier wird die Formel von Manuel für den Wert für 3B berechnet. Dieser wird dann auch als Total bei 3B angegeben</t>
  </si>
  <si>
    <t>&lt;- Der Korrekturfaktor berechnet sich danach aus der Differenz zwischen ausgewählten Optionen in 3B und dem Ergebnis von Manuel.</t>
  </si>
  <si>
    <t>&lt;- Variable B</t>
  </si>
  <si>
    <t>Variable A und D befinden sich auf Sheet 3E</t>
  </si>
  <si>
    <t>Transport, Gemüse, Bio/Label</t>
  </si>
  <si>
    <t>Noch zu Verfügung stehende Menge in Gramm [g/%]</t>
  </si>
  <si>
    <t>Vom gesamten Gemüseeinkauf sind weniger als 5% Surplus-Produkte</t>
  </si>
  <si>
    <t>Mindestens 5% des gesamten Gemüseeinkaufs sind Surplus-Produkte</t>
  </si>
  <si>
    <r>
      <t xml:space="preserve">In Verbindung mit Option 27: </t>
    </r>
    <r>
      <rPr>
        <sz val="10"/>
        <color theme="1"/>
        <rFont val="Helvetica Neue"/>
      </rPr>
      <t xml:space="preserve">Wird Option 27 ausgewählt, erhöht sich hier proportional die CO2-Reduktion.
</t>
    </r>
  </si>
  <si>
    <t>Mindestens 10% des gesamten Gemüseeinkaufs sind Surplus-Produkte</t>
  </si>
  <si>
    <t>Mindestens 20% des gesamten Gemüseeinkaufs sind Surplus-Produkte</t>
  </si>
  <si>
    <t>Mindestens 40% des gesamten Gemüseeinkaufs sind Surplus-Produkte</t>
  </si>
  <si>
    <t>Vermeidung fossil beheizter Gewächshäuser</t>
  </si>
  <si>
    <t>Baseline: 7% des Wareneinkaufs von Gemüse/Obst stammt aus fossil beheizten Gewächshäusern.</t>
  </si>
  <si>
    <t>25% weniger Gemüse/Obst aus fossil beheizten Gewächshäusern (inkl. Import)</t>
  </si>
  <si>
    <t>50% weniger Gemüse/Obst aus fossil beheizten Gewächshäusern (inkl. Import)</t>
  </si>
  <si>
    <t>75% weniger Gemüse/Obst aus fossil beheizten Gewächshäusern (inkl. Import)</t>
  </si>
  <si>
    <t>Kein Gemüse/Obst aus fossil beheizten Gewächshäusern (inkl. Import)</t>
  </si>
  <si>
    <t>Vermeidung Flugzeugtransporte</t>
  </si>
  <si>
    <r>
      <rPr>
        <b/>
        <sz val="11"/>
        <color theme="1"/>
        <rFont val="Helvetica Neue"/>
        <family val="2"/>
      </rPr>
      <t>Mögliche Flugwaren sind (Liste nicht abschliessend):</t>
    </r>
    <r>
      <rPr>
        <sz val="11"/>
        <color theme="1"/>
        <rFont val="Helvetica Neue"/>
        <family val="2"/>
      </rPr>
      <t xml:space="preserve"> 
Ananas, Beeren, Chili, Erbsen, frische Feigen, frische Kräuter, Guava, Grüne Bohnen, Kefen, Mango, Trauben. 
Auch Fische &amp; Meeresfrüchte sowie Fleischware werden möglicherweise eingeflogen. </t>
    </r>
  </si>
  <si>
    <t>Baseline: 7g Flugzeugtransporte pro Menü</t>
  </si>
  <si>
    <t>30% weniger Flugware</t>
  </si>
  <si>
    <t>50% weniger Flugware</t>
  </si>
  <si>
    <t>75% weniger Flugware</t>
  </si>
  <si>
    <t>100% weniger Flugware</t>
  </si>
  <si>
    <t xml:space="preserve">Lokale Transportwege </t>
  </si>
  <si>
    <t>Baseline: 0 
(lokal = Anbau von Lebensmitteln auf dem Gelände, auf dem sie verarbeitet werden, bspw. im eigenen Garten)</t>
  </si>
  <si>
    <t>10% der Lebensmittel werden vor Ort angebaut</t>
  </si>
  <si>
    <t>20% der Lebensmittel werden vor Ort angebaut</t>
  </si>
  <si>
    <t>40% der Lebensmittel werden vor Ort angebaut</t>
  </si>
  <si>
    <t>60% der Lebensmittel werden vor Ort angebaut</t>
  </si>
  <si>
    <t>Verwendung Bio-Lebensmittel (nur pflanzliche Basis)</t>
  </si>
  <si>
    <t>Weniger als 20% des Wareneinkaufs (pflanzliche Basis) stammt aus biologischer Produktion</t>
  </si>
  <si>
    <r>
      <rPr>
        <b/>
        <sz val="11"/>
        <color theme="1"/>
        <rFont val="Helvetica Neue"/>
      </rPr>
      <t>Pflanzliche Basis:</t>
    </r>
    <r>
      <rPr>
        <sz val="11"/>
        <color theme="1"/>
        <rFont val="Helvetica Neue"/>
        <family val="2"/>
      </rPr>
      <t xml:space="preserve">
alle Lebensmittel, die nicht auf tierischer Basis hergestellt wurde (Gemüse, Obst, Pflanzenöle, Pasta usw.)
Neben den Bio-Labels ist auch das IP-Suisse-Label akzeptiert. </t>
    </r>
  </si>
  <si>
    <t>Baseline: 0% des Wareneinkaufs (pflanzliche Basis) stammt aus biologischer Produktion</t>
  </si>
  <si>
    <t>20% des Wareneinkaufs (pflanzliche Basis) stammt aus biologischer Produktion</t>
  </si>
  <si>
    <t>Korrektur mit 27: Nach Kommentaren von Eaternity vom 17.11.2022</t>
  </si>
  <si>
    <r>
      <rPr>
        <b/>
        <sz val="11"/>
        <color theme="1"/>
        <rFont val="Helvetica Neue"/>
      </rPr>
      <t xml:space="preserve">In Verbindung mit Optionen 25-27: </t>
    </r>
    <r>
      <rPr>
        <sz val="11"/>
        <color theme="1"/>
        <rFont val="Helvetica Neue"/>
        <family val="2"/>
      </rPr>
      <t>Werden die genannten Optionen ausgewählt, erhöht sich hier proportional die CO2-Reduktion.</t>
    </r>
  </si>
  <si>
    <t>50% des Wareneinkaufs (pflanzliche Basis) stammt aus biologischer Produktion</t>
  </si>
  <si>
    <t>Korrektur mit 25: Nach Kommentaren von Eaternity vom 17.11.2022</t>
  </si>
  <si>
    <t>75% des Wareneinkaufs (pflanzliche Basis) stammt aus biologischer Produktion</t>
  </si>
  <si>
    <t>Korrektur mit 26: Nach Kommentaren von Eaternity vom 17.11.2022</t>
  </si>
  <si>
    <t>100% des Wareneinkaufs (pflanzliche Basis) stammt aus biologischer Produktion</t>
  </si>
  <si>
    <t>Weniger als 25% zertifiziertes Soja oder Soja aus nicht kritischen Regionen</t>
  </si>
  <si>
    <t>Baseline: 0% zertifiziertes Soja oder Soja aus nicht kritischen Regionen - d.h. 15% des Fleischs stammt aus ausländischer Produktion</t>
  </si>
  <si>
    <t>25% zertifiziertes Soja oder Soja aus nicht kritischen Regionen - d.h. max. 11% des Fleischs stammt aus ausländischer Produktion</t>
  </si>
  <si>
    <t>Faktor, mit welchem Reduktionen in Fleisch korrigiert werden.</t>
  </si>
  <si>
    <t>50% zertifiziertes Soja oder Soja aus nicht kritischen Regionen - d.h. max. 8% des Fleischs stammt aus ausländischer Produktion</t>
  </si>
  <si>
    <t>Faktor für die Korrektur durch 3E: Je mehr dort reduziert wurde, desto weniger passiert das hier. Nach Call mit Sarah und Nathalie am 17.11. wird diese Korrektur aus Einfachheitsgründen nicht verwendet, auch wenn dies eigentlich korrekt wäre (anzuwenden auf alle in 3C).</t>
  </si>
  <si>
    <r>
      <rPr>
        <b/>
        <sz val="11"/>
        <color theme="1"/>
        <rFont val="Helvetica Neue"/>
      </rPr>
      <t xml:space="preserve">In Relation zu allen Fleischreduktionen: </t>
    </r>
    <r>
      <rPr>
        <sz val="11"/>
        <color theme="1"/>
        <rFont val="Helvetica Neue"/>
      </rPr>
      <t xml:space="preserve">Wenn Fleisch reduziert wird, wird proportional auch der Effekt, welcher hier durch Futtermittel erreicht wird, kleiner. </t>
    </r>
  </si>
  <si>
    <t>75% zertifiziertes Soja oder Soja aus nicht kritischen Regionen - d.h. max. 4% des Fleischs stammt aus ausländischer Produktion</t>
  </si>
  <si>
    <t>100% zertifiziertes Soja oder Soja aus nicht kritischen Regionen - d.h. 0% Fleisch aus ausländischer Produktion</t>
  </si>
  <si>
    <t>D</t>
  </si>
  <si>
    <t>Menüzusammensetzung</t>
  </si>
  <si>
    <t>Verwendung mehr Nüsse und Samen (bei ausgewogenem Verhältnis Proteine / Fette / Kalorien)</t>
  </si>
  <si>
    <t>Verwendung von 1g Nüsse und Samen pro Menü (Baseline)</t>
  </si>
  <si>
    <t>Baseline: 1g Nüsse und Samen pro Menü</t>
  </si>
  <si>
    <t>Möglichkeit um die Mahlzeit mit Nüssen und Samen anzureichern</t>
  </si>
  <si>
    <t>mind. 1 weitere Massnahme zur Förderung von Nüssen und Samen</t>
  </si>
  <si>
    <r>
      <t xml:space="preserve">Nicht kombinierbar mit 3A und 3B: </t>
    </r>
    <r>
      <rPr>
        <sz val="11"/>
        <rFont val="Helvetica Neue"/>
        <family val="2"/>
      </rPr>
      <t xml:space="preserve">Wenn eine Option in 3A oder 3B ausgewählt wurde, ist diese Option nicht anwählbar. </t>
    </r>
  </si>
  <si>
    <t>20 g Nüsse &amp; Samen pro Menü</t>
  </si>
  <si>
    <t>25 g Nüsse &amp; Samen pro Menü</t>
  </si>
  <si>
    <t>Verwendung mehr Hülsenfrüchte (bei ausgewogenem Verhältnis Proteine / Fette / Kalorien)</t>
  </si>
  <si>
    <t>Weniger als 30% des Proteineinkaufs sind Hülsenfrüchte</t>
  </si>
  <si>
    <t>Baseline: 25% vom Proteineinkauf sind Hülsenfrüchte (inklusive Tofu, Tempeh und ähnliche Produkte)</t>
  </si>
  <si>
    <t xml:space="preserve">Min. 30% des Proteineinkaufs sind Hülsenfrüchte </t>
  </si>
  <si>
    <t>Min. 36% des Proteineinkaufs sind Hülsenfrüchte</t>
  </si>
  <si>
    <t xml:space="preserve">Min. 45% des Proteineinkaufs sind Hülsenfrüchte </t>
  </si>
  <si>
    <t xml:space="preserve">Min. 50% des Proteineinkaufs sind Hülsenfrüchte </t>
  </si>
  <si>
    <t>Verwendung mehr Gemüse</t>
  </si>
  <si>
    <t>Keine Erhöhung des Gemüseanteils pro Menü</t>
  </si>
  <si>
    <t>Baseline: 100g Gemüse pro Menü</t>
  </si>
  <si>
    <t>20% mehr Gemüse pro Menü bei gleichbleibender Gesamt-Portionsgrösse</t>
  </si>
  <si>
    <t>50% mehr Gemüse pro Menü bei gleichbleibender Gesamt-Portionsgrösse</t>
  </si>
  <si>
    <t>80% mehr Gemüse pro Menü bei gleichbleibender Gesamt-Portionsgrösse</t>
  </si>
  <si>
    <t>110% mehr Gemüse pro Menü bei gleichbleibender Gesamt-Portionsgrösse</t>
  </si>
  <si>
    <t>Durchschnittliche Fleischportionen auf dem Teller</t>
  </si>
  <si>
    <t>Baseline: 41g Fleisch pro Menü</t>
  </si>
  <si>
    <t>15% kleinere Fleischportionen</t>
  </si>
  <si>
    <r>
      <t xml:space="preserve">Nicht kombinierbar mit Auswahl in 3B: </t>
    </r>
    <r>
      <rPr>
        <sz val="11"/>
        <color theme="1"/>
        <rFont val="Helvetica Neue"/>
        <family val="2"/>
      </rPr>
      <t xml:space="preserve">Wenn eine Option in 3B_Fleisch ausgewählt wurde, ist diese Option nicht anwählbar. 
</t>
    </r>
    <r>
      <rPr>
        <b/>
        <sz val="11"/>
        <color theme="1"/>
        <rFont val="Helvetica Neue"/>
        <family val="2"/>
      </rPr>
      <t xml:space="preserve">
In Kombination mit Auswahl in 3E: </t>
    </r>
    <r>
      <rPr>
        <sz val="11"/>
        <color theme="1"/>
        <rFont val="Helvetica Neue"/>
        <family val="2"/>
      </rPr>
      <t>Wenn in 3E die Menge an Menüs mit Fleisch reduziert wird, reduziert sich die hier anrechenbare Reduktionsmenge proportional.</t>
    </r>
  </si>
  <si>
    <t>20% kleinere Fleischportionen</t>
  </si>
  <si>
    <t>25% kleinere Fleischportionen</t>
  </si>
  <si>
    <t>Wenn in 3E etwas ausgewählt wird, dann reduziert sich hier die Menge proportional zur Reduktionsmenge der Anzahl Fleischgerichte durch 3E. Also wenn in 3E die Anzahl Fleischgerichte um 50% reduziert wird, reduziert sich die hier angerechenbare Menge um 50%.</t>
  </si>
  <si>
    <t>30% kleinere Fleischportionen</t>
  </si>
  <si>
    <t>Durchschnittliche Fischportionen auf dem Teller</t>
  </si>
  <si>
    <t>Baseline: 15g Fisch pro Menü</t>
  </si>
  <si>
    <t>15% kleinere Fischportionen</t>
  </si>
  <si>
    <t>20% kleinere Fischportionen</t>
  </si>
  <si>
    <t>Hinweis:</t>
  </si>
  <si>
    <t>Zelle H25 bezieht sich wie H22 auf die Zellen I10 und I21</t>
  </si>
  <si>
    <t>25% kleinere Fischportionen</t>
  </si>
  <si>
    <t>30% kleinere Fischportionen</t>
  </si>
  <si>
    <t xml:space="preserve">Die Gesamtreduktion kann aufgrund der Auswahl in 3A, 3B und 3E kleiner ausfallen, respektive nicht möglich sein (Doppelzählung wird vermieden). </t>
  </si>
  <si>
    <t>E</t>
  </si>
  <si>
    <t>NUR EINE OPTION MÖGLICH</t>
  </si>
  <si>
    <t>Vegane/Vegetarische Menüs</t>
  </si>
  <si>
    <t>Vegetarische Menüs (Angebot)</t>
  </si>
  <si>
    <r>
      <rPr>
        <b/>
        <sz val="11"/>
        <color theme="1"/>
        <rFont val="Helvetica Neue"/>
        <family val="2"/>
      </rPr>
      <t>Diese Option wählen</t>
    </r>
    <r>
      <rPr>
        <sz val="11"/>
        <color theme="1"/>
        <rFont val="Helvetica Neue"/>
        <family val="2"/>
      </rPr>
      <t>, falls der Ersatz der Fleischgerichte (Angebot) durch eine Mischung aus vegetarischen &amp; veganen Gerichten erfolgt.</t>
    </r>
  </si>
  <si>
    <t>Baseline: 25% der angebotenen Menus sind vegetarisch</t>
  </si>
  <si>
    <r>
      <t xml:space="preserve">In Relation zu 3B &amp; 3D: </t>
    </r>
    <r>
      <rPr>
        <sz val="11"/>
        <color theme="1"/>
        <rFont val="Helvetica Neue"/>
      </rPr>
      <t>Eine Auswahl hier reduziert die Reduktionsmengen in 3B und 3D und umgekehrt (Vermeidung von Doppelzählungen). 
In 3E kann nur eine der Optionen 30 - 33 ausgewählt werden.</t>
    </r>
  </si>
  <si>
    <t>Test, ob 8, 11, 15, 18 gewählt wurden.</t>
  </si>
  <si>
    <t>Korrektur für Wechselwirkung mit 3A. 3B &amp; 3D</t>
  </si>
  <si>
    <t>Es werden nur noch vegetarische Gerichte angeboten.</t>
  </si>
  <si>
    <t>Vegane Menüs (Angebot)</t>
  </si>
  <si>
    <r>
      <t xml:space="preserve">Diese Option wählen, </t>
    </r>
    <r>
      <rPr>
        <sz val="11"/>
        <color theme="1"/>
        <rFont val="Helvetica Neue"/>
        <family val="2"/>
      </rPr>
      <t>falls der Ersatz der Fleischgerichte (Angebot) durch rein vegane Gerichte erfolgt.</t>
    </r>
  </si>
  <si>
    <t>Baseline: 15% der angebotenen Menüs sind vegan</t>
  </si>
  <si>
    <t>Test ob eine andere Option gewählt wurde.</t>
  </si>
  <si>
    <r>
      <t xml:space="preserve">In Relation zu 3A, 3B &amp; 3D: </t>
    </r>
    <r>
      <rPr>
        <sz val="11"/>
        <color theme="1"/>
        <rFont val="Helvetica Neue"/>
      </rPr>
      <t>Eine Auswahl hier reduziert die Reduktionsmengen in den 3A, 3B &amp; 3D und umgekehrt (Vermeidung von Doppelzählungen). 
In 3E kann nur eine der Optionen 30 - 33 ausgewählt werden.</t>
    </r>
  </si>
  <si>
    <t>activesheet.groupboxes.visible = falsch</t>
  </si>
  <si>
    <t>Es werden nur noch vegane Gerichte angeboten.</t>
  </si>
  <si>
    <t>Vegetarische Menüs (Verkauf)</t>
  </si>
  <si>
    <r>
      <rPr>
        <b/>
        <sz val="11"/>
        <color theme="1"/>
        <rFont val="Helvetica Neue"/>
        <family val="2"/>
      </rPr>
      <t>Diese Option wählen,</t>
    </r>
    <r>
      <rPr>
        <sz val="11"/>
        <color theme="1"/>
        <rFont val="Helvetica Neue"/>
        <family val="2"/>
      </rPr>
      <t xml:space="preserve"> falls Ersatz der Fleischgerichte (Verkauf) durch eine Mischung aus vegetarischen &amp; veganen Gerichten erfolgt.</t>
    </r>
  </si>
  <si>
    <t>Es werden nur noch vegetarische Gerichte verkauft.</t>
  </si>
  <si>
    <t>Vegane Menüs (Verkauf)</t>
  </si>
  <si>
    <r>
      <rPr>
        <b/>
        <sz val="11"/>
        <color theme="1"/>
        <rFont val="Helvetica Neue"/>
        <family val="2"/>
      </rPr>
      <t>Diese Option wählen,</t>
    </r>
    <r>
      <rPr>
        <sz val="11"/>
        <color theme="1"/>
        <rFont val="Helvetica Neue"/>
        <family val="2"/>
      </rPr>
      <t xml:space="preserve"> falls Ersatz der Fleischgerichte (Verkauf) durch rein vegane Gerichte erfolgt.</t>
    </r>
  </si>
  <si>
    <t>Baseline = 15% der verkauften Menüs sind vegan</t>
  </si>
  <si>
    <t>Es werden nur noch vegane Gerichte verkauft.</t>
  </si>
  <si>
    <t>&lt;- Variable A</t>
  </si>
  <si>
    <t>Reduktion kann aufgrund vorhergehender Auswahl in 3D kleiner ausfallen (Doppelzählung wird vermieden).</t>
  </si>
  <si>
    <t>F</t>
  </si>
  <si>
    <t>Reduktion Foodwaste (vermeidbare Speiseabfälle pro Menü)</t>
  </si>
  <si>
    <t xml:space="preserve">Foodwaste umfasst Lebensmittel (Rücklauf, Überproduktion) sowie Flüssigkeiten mit hohem Nährstoffgehalt (z.B. Milch, Molke, Säfte) sowie Kaffee. 
Grundlage: Dissertation C. Beretta der ETH in 2018 (Environmental Assessment of Food Losses and Reduction Potential in Food Value Chains). </t>
  </si>
  <si>
    <t>Max. 50g / 11.1% des Menüs</t>
  </si>
  <si>
    <t>Max. 25g / 5.5% des Menüs</t>
  </si>
  <si>
    <r>
      <t xml:space="preserve">In Relation zu allen vorher gewählten Optionen: </t>
    </r>
    <r>
      <rPr>
        <sz val="11"/>
        <color theme="1"/>
        <rFont val="Helvetica Neue"/>
        <family val="2"/>
      </rPr>
      <t>Die CO2-Reduktion dieser Option sinkt in Abhängigkeit zu CO2-Reduktionen in 3A-3E.</t>
    </r>
  </si>
  <si>
    <t>Max. 10g / 2.2% des Menüs</t>
  </si>
  <si>
    <t>Max. 2.5g / 0.6% des Menüs</t>
  </si>
  <si>
    <t>Reduktion Klimawirkung Menüs</t>
  </si>
  <si>
    <t xml:space="preserve">Betrieb: </t>
  </si>
  <si>
    <t>Grunddaten:</t>
  </si>
  <si>
    <t>Zeitraum</t>
  </si>
  <si>
    <t>Gewählte Reduktionsoptionen</t>
  </si>
  <si>
    <t>Baseline</t>
  </si>
  <si>
    <t>Angestrebte Veränderung / Noch zu verwendende Menge</t>
  </si>
  <si>
    <t>Wirkung</t>
  </si>
  <si>
    <t>Eingabefelder</t>
  </si>
  <si>
    <t>Veränderung ggü. Baseline</t>
  </si>
  <si>
    <t>Ziel-erreichung</t>
  </si>
  <si>
    <t>Reduktion Milch und/oder Joghurt (in Menüs)</t>
  </si>
  <si>
    <t>13ml pro Menu</t>
  </si>
  <si>
    <t>Milch [l]:</t>
  </si>
  <si>
    <t>Joghurt [l]:</t>
  </si>
  <si>
    <t>l</t>
  </si>
  <si>
    <t>9ml pro Menü</t>
  </si>
  <si>
    <t>Rahm [l]:</t>
  </si>
  <si>
    <t>1g pro Menü</t>
  </si>
  <si>
    <t>Butter [kg]:</t>
  </si>
  <si>
    <t>kg</t>
  </si>
  <si>
    <t>11g pro Menu</t>
  </si>
  <si>
    <t>Käse [kg]:</t>
  </si>
  <si>
    <t>6g pro Menu</t>
  </si>
  <si>
    <t>Hartkäse [kg]:</t>
  </si>
  <si>
    <t>250g pro Menu</t>
  </si>
  <si>
    <t>Siehe Berechnung-Sheet</t>
  </si>
  <si>
    <t>(Siehe auch Option 18)</t>
  </si>
  <si>
    <t>10.1g pro Menu</t>
  </si>
  <si>
    <t>Rind [kg]:</t>
  </si>
  <si>
    <t>Kalb [kg]:</t>
  </si>
  <si>
    <t>17.9g pro Menu</t>
  </si>
  <si>
    <t>Schwein [kg]:</t>
  </si>
  <si>
    <t>8.1g pro Menu</t>
  </si>
  <si>
    <t>Primestücke Rind [kg]:</t>
  </si>
  <si>
    <t>Primestücke Kalb [kg]:</t>
  </si>
  <si>
    <t>Primestücke Schwein [kg]:</t>
  </si>
  <si>
    <t>56g pro Menu</t>
  </si>
  <si>
    <t>0g pro Menu</t>
  </si>
  <si>
    <t>Anteil Surplus-Fleisch [%]:</t>
  </si>
  <si>
    <t>%</t>
  </si>
  <si>
    <t>0% Surplus-Anteil</t>
  </si>
  <si>
    <t>7.8g pro Menu</t>
  </si>
  <si>
    <t>22.6g pro Menu</t>
  </si>
  <si>
    <t>Geflügel [kg]:</t>
  </si>
  <si>
    <t>13g pro Menu</t>
  </si>
  <si>
    <t>Nose-to-Tail Geflügel [kg]:</t>
  </si>
  <si>
    <t>7g pro Menu</t>
  </si>
  <si>
    <t>Zuchtfisch [kg]:</t>
  </si>
  <si>
    <t>30g Milchpr. + 56g Fleisch</t>
  </si>
  <si>
    <t>0g pro Menü</t>
  </si>
  <si>
    <t>Anteil Surplus-Gemüse [%]:</t>
  </si>
  <si>
    <t>7% des Wareneinkaufs von Gemüse/Obst aus fossil beheizten Gewächshäusern</t>
  </si>
  <si>
    <t>Anteil aus fossil beheizten Gewächshäusern [%]</t>
  </si>
  <si>
    <t>7g Flugtransporte pro Menü</t>
  </si>
  <si>
    <t>Ware durch Flugtransporte [kg]:</t>
  </si>
  <si>
    <t>0% lokale Produkte</t>
  </si>
  <si>
    <t>0% des Wareneinkaufs kommt aus biologischer Produktion</t>
  </si>
  <si>
    <t>Ware aus biologischer Produktion [%]:</t>
  </si>
  <si>
    <t>0% zertifiziertes Soja oder Soja aus nicht kritischen Regionen</t>
  </si>
  <si>
    <t>Anteil ausländisches Fleisch [%]:</t>
  </si>
  <si>
    <t>1g Nüsse und Samen pro Menü</t>
  </si>
  <si>
    <t>Nüsse [kg]:</t>
  </si>
  <si>
    <t>Baseline: 25% vom Proteineinkauf sind Hülsenfrüchte</t>
  </si>
  <si>
    <t>Anteil Hülsenfrüchte von Proteineinkauf [%]:</t>
  </si>
  <si>
    <t>100g Gemüse pro Menu</t>
  </si>
  <si>
    <t>Gemüse [kg]:</t>
  </si>
  <si>
    <t>41g Fleischportion pro Menu</t>
  </si>
  <si>
    <t>Total Fleisch [kg]:</t>
  </si>
  <si>
    <t>15g Fischportion pro Menu</t>
  </si>
  <si>
    <t>Total Fisch [kg]:</t>
  </si>
  <si>
    <t>Vegetarische Menus (Angebot)</t>
  </si>
  <si>
    <t>25% der angebotenen Menus sind vegetarisch</t>
  </si>
  <si>
    <t>Angebotene vegetarische (+vegane) Menus [Anzahl]:</t>
  </si>
  <si>
    <t>Total angebotene Menus:</t>
  </si>
  <si>
    <t>Vegane Menus (Angebot)</t>
  </si>
  <si>
    <t>15% der angebotenen Menus sind vegan</t>
  </si>
  <si>
    <t>Angebotene vegane Menus [Anzahl]:</t>
  </si>
  <si>
    <t>25% der verkauften Menüs sind vegetarisch</t>
  </si>
  <si>
    <t>Verkaufte vegetarische (+vegane) Menüs  [Anzahl]:</t>
  </si>
  <si>
    <t>Total verkaufte Menüs:</t>
  </si>
  <si>
    <t>Vegane Menus (Verkauf)</t>
  </si>
  <si>
    <t>Verkaufte vegane Menus [Anzahl]:</t>
  </si>
  <si>
    <t>Total verkaufte Menus:</t>
  </si>
  <si>
    <t>Korrekturfaktor</t>
  </si>
  <si>
    <t>Durch den Korrekturfaktor werden Doppelzählungen durch die Auswahl in 3E und 3B korrigiert.</t>
  </si>
  <si>
    <t>Ausgewähltes Total [% CO2-Reduktion]</t>
  </si>
  <si>
    <t xml:space="preserve">Tatsächlich erreicht: </t>
  </si>
  <si>
    <t>Erweiterte Berechnungen zum Excel-Tool zu Reduktionsoptionen der kantonalen Verpflegungsbetriebe</t>
  </si>
  <si>
    <t xml:space="preserve">Hier werden zusätzliche Daten für die Nachweiserbringung von ausgewählten Reduktionsoptionen eingegeben. </t>
  </si>
  <si>
    <t>Option 6 &amp; 18:</t>
  </si>
  <si>
    <t>Nötige Angaben für Optionen 6 &amp; 18 für die Berechnung der Milchäquivalente:</t>
  </si>
  <si>
    <t>Vollmilch [kg]:</t>
  </si>
  <si>
    <t>Milch-Äquiv.:</t>
  </si>
  <si>
    <t>Option 11:</t>
  </si>
  <si>
    <t>Nötige Angaben für Option 11:</t>
  </si>
  <si>
    <t>Fisch [kg]:</t>
  </si>
  <si>
    <t>Option 13:</t>
  </si>
  <si>
    <t xml:space="preserve">Nötige Angaben für Option 13: </t>
  </si>
  <si>
    <t>Option 18:</t>
  </si>
  <si>
    <t>Nötige Angaben für Option 18 für die Berechnung des Totals des Fleischs:</t>
  </si>
  <si>
    <t>Total Milch-produkte [kg]
(siehe oben Option 6):</t>
  </si>
  <si>
    <t>Anteil Lebensmittel ohne Transportweg [%]:</t>
  </si>
  <si>
    <t>Falls in 3A etwas ausgewählt, dann 0 (25-27 werden ausgegraut)</t>
  </si>
  <si>
    <t>Falls in 3B etwas ausgewählt, dann 0 (25-28 werden ausgegraut)</t>
  </si>
  <si>
    <t>Falls in 3B zu Fisch (11, 13, 17, 18) etwas ausgewählt, dann 0 (29 wird ausgegraut)</t>
  </si>
  <si>
    <r>
      <rPr>
        <b/>
        <sz val="11"/>
        <color theme="1"/>
        <rFont val="Helvetica Neue"/>
      </rPr>
      <t>Prime-Stücke:</t>
    </r>
    <r>
      <rPr>
        <sz val="11"/>
        <color theme="1"/>
        <rFont val="Helvetica Neue"/>
        <family val="2"/>
      </rPr>
      <t xml:space="preserve">
Kalb: Filet, Geschnetzeltes, Kotelett, Plätzli, Steaks 
Rind: Filet, Geschnetzeltes, Hohrücken, Huft, Plätzli, Roastbeef, Stotzenbraten 
Schwein: Filet, Kotelett, Halsbraten, Plätzli vom Stotzen, Plätzli vom Nierstück, Schulterbraten, Brustspitz</t>
    </r>
  </si>
  <si>
    <r>
      <rPr>
        <b/>
        <sz val="11"/>
        <color theme="1"/>
        <rFont val="Helvetica Neue"/>
      </rPr>
      <t>Surplus-Stücke:</t>
    </r>
    <r>
      <rPr>
        <sz val="11"/>
        <color theme="1"/>
        <rFont val="Helvetica Neue"/>
        <family val="2"/>
      </rPr>
      <t xml:space="preserve">
Kalb: Kopf, Füsse, Innereien, Leber 
Rind: Innereien, Kopf, Füsse
Geflügel: Hals, Leber, Magen, Bürzel
Schwein: Leber, Nieren, Herz, Zwerchfell, Schnörrli</t>
    </r>
  </si>
  <si>
    <t>25% der angebotenen Fleisch-/Fischgerichte durch vegetarische Gerichte ersetzen (43.75% aller angebotenen Menüs sind vegetarisch)</t>
  </si>
  <si>
    <t>50% der angebotenen Fleisch-/Fischgerichte durch vegetarische Gerichte ersetzen (62.5% aller angebotenen Menüs sind vegetarisch)</t>
  </si>
  <si>
    <t>75% der angebotenen Fleisch-/Fischgerichte durch vegetarische Gerichte ersetzen (81.25% aller angebotenen Menüs sind vegetarisch)</t>
  </si>
  <si>
    <t>25% der angebotenen Fleisch-/Fischgerichte durch vegane Gerichte ersetzen (36.25% aller angebotenen Menüs sind vegan)</t>
  </si>
  <si>
    <t>50% der angebotenen Fleisch-/Fischgerichte durch vegane Gerichte ersetzen (57.5% aller angebotenen Menüs sind vegan)</t>
  </si>
  <si>
    <t>75% der angebotenen Fleisch-/Fischgerichte durch vegane Gerichte ersetzen (78.75% aller angebotenen Menüs sind vegan)</t>
  </si>
  <si>
    <t>25% der Fleisch-/Fischgerichte durch vegetarische Gerichte ersetzen (43.75% aller verkauften Menüs sind vegetarisch)</t>
  </si>
  <si>
    <t>50% der Fleisch-/Fischgerichte durch vegetarische Gerichte ersetzen (62.5% aller verkauften Menüs sind vegetarisch)</t>
  </si>
  <si>
    <t>75% der Fleisch-/Fischgerichte durch vegetarische Gerichte ersetzen (81.25% aller verkauften Menüs sind vegetarisch)</t>
  </si>
  <si>
    <t>25% der Fleisch-/Fischgerichte durch vegane Gerichte ersetzen (36.25% aller verkauften Menüs sind vegan)</t>
  </si>
  <si>
    <t>50% der Fleisch-/Fischgerichte durch vegane Gerichte ersetzen (57.5% aller verkauften Menüs sind vegan)</t>
  </si>
  <si>
    <t>75% der Fleisch-/Fischgerichte durch vegane Gerichte ersetzen (78.75% aller verkauften Menüs sind vegan)</t>
  </si>
  <si>
    <t>Option 34:</t>
  </si>
  <si>
    <t>Bitte im Dropdown-Menü die Methodik zur Foodwaste Berechnung auswählen und die Menge eingeben.</t>
  </si>
  <si>
    <t>2) Eigene Methodik: Kilogramm Foodwaste (vermeidbar &amp; unvermeidbar)</t>
  </si>
  <si>
    <t>3) Eigene Methodik: Kilogramm Foodwaste (vermeidbar)</t>
  </si>
  <si>
    <r>
      <rPr>
        <b/>
        <sz val="10"/>
        <color theme="1"/>
        <rFont val="Arial"/>
        <family val="2"/>
      </rPr>
      <t>Option 34 - Hinweis zu "Eigene Methodik":</t>
    </r>
    <r>
      <rPr>
        <sz val="10"/>
        <color theme="1"/>
        <rFont val="Arial"/>
        <family val="2"/>
      </rPr>
      <t xml:space="preserve"> Vermeidbarer Foodwaste umfasst Lebensmittel (Rücklauf, Überproduktion, abgelaufene/verdorbene Lebensmittel) sowie Flüssigkeiten mit hohem Nährstoffgehalt (z.B. Milch, Molke, Säfte) sowie Kaffee. Unvermeidbarer Foodwaste sind nicht für den Verzehr geeignete Bestandteile (z.B. Zwiebelschale, Knochen). Wenn alle Lebensmittelverluste gesammelt gemessen werden, kommt Dropdown-Option 2 zur Anwendung.</t>
    </r>
  </si>
  <si>
    <t>- Reduktion Milch/Joghurt</t>
  </si>
  <si>
    <t>- Reduktion Rahm</t>
  </si>
  <si>
    <t>- Reduktion Butter</t>
  </si>
  <si>
    <t>- Reduktion Käse</t>
  </si>
  <si>
    <t>- Reduktion Fleisch</t>
  </si>
  <si>
    <t>- Verwendung pflanzliche Proteinquellen</t>
  </si>
  <si>
    <t>- Reduktion Prime-Stücke</t>
  </si>
  <si>
    <t>- Nose-to-tail</t>
  </si>
  <si>
    <t>Transport/Gemüse/Bio</t>
  </si>
  <si>
    <t>- Verwendung Surplus-Gemüse</t>
  </si>
  <si>
    <t>- Vermeidung fossil beheizte Gewächshäuser</t>
  </si>
  <si>
    <t>- Vermeidung Flugtransporte</t>
  </si>
  <si>
    <t>- Verwendung lokale Lebensmittel</t>
  </si>
  <si>
    <t>- Bio-Produkte</t>
  </si>
  <si>
    <t>- Weniger ausländisches Fleisch</t>
  </si>
  <si>
    <t>- mehr Nüsse/Samen</t>
  </si>
  <si>
    <t>- mehr Hülsenfrüchte</t>
  </si>
  <si>
    <t>- mehr Gemüse</t>
  </si>
  <si>
    <t>- kleinere Fleischportionen</t>
  </si>
  <si>
    <t>- kleinere Fischportionen</t>
  </si>
  <si>
    <t>- grösseres Angebot</t>
  </si>
  <si>
    <t>Vegetarische und vegane Menüs</t>
  </si>
  <si>
    <t>Food Waste</t>
  </si>
  <si>
    <t>- Reduktion vermeidbarer Speiseabfälle</t>
  </si>
  <si>
    <t>Verwendung von pflanzlichen Proteinquellen</t>
  </si>
  <si>
    <t xml:space="preserve">Baseline: Durchschnitt 102.4g / 22.6% des Menüs (450g pro Hauptmahlzeit beim Gast). </t>
  </si>
  <si>
    <t>25% Rind/Kalb durch pflanzliche Proteinquellen ersetzen</t>
  </si>
  <si>
    <t>102.4g / 22.6% des Menüs (450g pro Hauptmahlzeit)</t>
  </si>
  <si>
    <t>1) BAFU: Gramm Lebensmittelverluste / Hauptmahlzeit</t>
  </si>
  <si>
    <t>50% Rind/Kalb durch pflanzliche Proteinquellen ersetzen</t>
  </si>
  <si>
    <t>80% Rind/Kalb durch pflanzliche Proteinquellen ersetzen</t>
  </si>
  <si>
    <t>100% Rind/Kalb durch pflanzliche Proteinquellen ersetzen</t>
  </si>
  <si>
    <r>
      <rPr>
        <b/>
        <sz val="11"/>
        <color theme="1"/>
        <rFont val="Helvetica Neue"/>
      </rPr>
      <t>Pflanzliche Proteinquellen:</t>
    </r>
    <r>
      <rPr>
        <sz val="11"/>
        <color theme="1"/>
        <rFont val="Helvetica Neue"/>
        <family val="2"/>
      </rPr>
      <t xml:space="preserve">
Lebensmittel, welche die Fleischbestandteile eines Menüs ersetzen. Damit sind jedoch nicht zwingend industriell hergestellte Fleischimitate gemeint, sondern auch Produkte wie z.B. Tofu, Tempeh oder Seitan.</t>
    </r>
  </si>
  <si>
    <t>25% des Fleischs (inkl. Fisch) durch pflanzliche Proteinquellen ersetzen</t>
  </si>
  <si>
    <t>50% des Fleischs (inkl. Fisch) durch pflanzliche Proteinquellen ersetzen</t>
  </si>
  <si>
    <t>80% des Fleischs (inkl. Fisch) durch pflanzliche Proteinquellen ersetzen</t>
  </si>
  <si>
    <t>100% des Fleischs (inkl. Fisch) durch pflanzliche Proteinquellen ersetzen</t>
  </si>
  <si>
    <r>
      <rPr>
        <b/>
        <sz val="11"/>
        <color theme="1"/>
        <rFont val="Helvetica Neue"/>
        <family val="2"/>
      </rPr>
      <t>Pflanzliche Proteinquellen:</t>
    </r>
    <r>
      <rPr>
        <sz val="11"/>
        <color theme="1"/>
        <rFont val="Helvetica Neue"/>
        <family val="2"/>
      </rPr>
      <t xml:space="preserve">
Lebensmittel, welche die Fleischbestandteile eines Menüs ersetzen. Damit sind jedoch nicht zwingend industriell hergestellte Fleischimitate gemeint, sondern auch Produkte wie z.B. Tofu, Tempeh oder Seitan.</t>
    </r>
  </si>
  <si>
    <t>25% des Geflügelfleischs durch pflanzliche Proteinquellen ersetzen</t>
  </si>
  <si>
    <t>50% des Geflügelfleischs durch pflanzliche Proteinquellen ersetzen</t>
  </si>
  <si>
    <t>80% des Geflügelfleischs durch pflanzliche Proteinquellen ersetzen</t>
  </si>
  <si>
    <t>100% des Geflügelfleischs durch pflanzliche Proteinquellen ersetzen</t>
  </si>
  <si>
    <t>Verwendung von Surplus-Gemüse</t>
  </si>
  <si>
    <r>
      <rPr>
        <b/>
        <sz val="11"/>
        <color rgb="FF000000"/>
        <rFont val="Helvetica Neue"/>
      </rPr>
      <t xml:space="preserve">Definition Surplus-Gemüse: 
</t>
    </r>
    <r>
      <rPr>
        <sz val="11"/>
        <color rgb="FF000000"/>
        <rFont val="Helvetica Neue"/>
      </rPr>
      <t xml:space="preserve">Gemüse, dass aus verschiedenen Gründen normalerweisse nicht für den Verkauf im regulären Einzelhandel geeignet ist. Zum Beispiel durch kosmetische Mängel (wie Form, Grösse, Farbe, die nicht den typischen Standards entsprechen), Überschreiten des Haltbarkeitsdatums oder durch logistische Probleme. </t>
    </r>
  </si>
  <si>
    <t>Weniger ausländisches Fleisch (Soja als Futtermittel)</t>
  </si>
  <si>
    <t>Worum geht es?</t>
  </si>
  <si>
    <t>Schritt 1: Planung</t>
  </si>
  <si>
    <t>Schritt 3: Überprüfung</t>
  </si>
  <si>
    <t>Schritt 4: Beurteilung</t>
  </si>
  <si>
    <t>Definition Menü</t>
  </si>
  <si>
    <t>Vermeidung von Doppelzählungen</t>
  </si>
  <si>
    <t>Aufbau der Reduktionsoptionen (Massnahmen)</t>
  </si>
  <si>
    <t>Ein Menü ist ein Tellergericht inklusive Salat oder Suppe oder ein am Buffet geschöpfter Teller. Wenn nicht anders angegeben, bezieht sich "pro Menü" auf die Anzahl der verkauften Menüs.</t>
  </si>
  <si>
    <t>Schritt 2: Umsetzung</t>
  </si>
  <si>
    <t>Was sind die kantonalen Zielsetzungen?</t>
  </si>
  <si>
    <t>Wie kann ich das Excel-Tool nutzen?</t>
  </si>
  <si>
    <t>- Je nach Zielerreichung: Massnahmen beibehalten oder weitere Massnahmen umsetzen (Schritte 1 bis 3 durchlaufen).
- Jährlich Nachweiserbringung ausfüllen.</t>
  </si>
  <si>
    <t>Was muss ich noch wissen?</t>
  </si>
  <si>
    <r>
      <rPr>
        <b/>
        <sz val="11"/>
        <color theme="1"/>
        <rFont val="Arial"/>
        <family val="2"/>
      </rPr>
      <t xml:space="preserve">Beispiel: </t>
    </r>
    <r>
      <rPr>
        <sz val="11"/>
        <color theme="1"/>
        <rFont val="Arial"/>
        <family val="2"/>
      </rPr>
      <t xml:space="preserve">
Bei der Reduktionsoption 7 (Reduktion Rind) möchte ein Betrieb Intensität B errreichen. Dafür ist es nötig, 50% des Rind-/Kalb-Fleischs durch Geflügel oder Schweinefleisch zu ersetzen. Die Baseline ist die Ausgangslage: Es können im Schnitt über alle Menüs noch 5.1 Gramm Rind-/Kalbfleisch pro Menü eingesetzt werden (anstatt 10.1 Gramm gemäss der Baseline). Falls die Verwendung von Rind-/Kalbfleisch durch den Verpflegungsbetrieb am Anfang höher ist als die Baseline, reicht eine 50%-Reduktion nicht aus. Wenn ein Verpflegungsbetrieb beispielsweise im Schnitt 15 Gramm Rind-/Kalbfleisch pro Menü verwendet und diese um 50% reduziert, wird 7.5 Gramm pro Menü erreicht und somit nicht die Intensität B, sondern die Intensität A. Bei der Auswahl der Reduktionsoption also darauf achten, wie der eigene Verbrauch im Vergleich zur Baseline steht. </t>
    </r>
  </si>
  <si>
    <r>
      <t xml:space="preserve">Die kantonalen Zielsetzung sind in der langfristigen Klimastrategie enthalten und lauten: 
</t>
    </r>
    <r>
      <rPr>
        <b/>
        <sz val="11"/>
        <color theme="1"/>
        <rFont val="Arial"/>
        <family val="2"/>
      </rPr>
      <t>bis 2025</t>
    </r>
    <r>
      <rPr>
        <sz val="11"/>
        <color theme="1"/>
        <rFont val="Arial"/>
        <family val="2"/>
      </rPr>
      <t xml:space="preserve">: Reduktion durchschnittliche Treibhausgas-Emissionen pro konsumiertes Menü um </t>
    </r>
    <r>
      <rPr>
        <b/>
        <sz val="11"/>
        <color theme="1"/>
        <rFont val="Arial"/>
        <family val="2"/>
      </rPr>
      <t>20%</t>
    </r>
    <r>
      <rPr>
        <sz val="11"/>
        <color theme="1"/>
        <rFont val="Arial"/>
        <family val="2"/>
      </rPr>
      <t xml:space="preserve"> ggü. Referenzwert 2018
</t>
    </r>
    <r>
      <rPr>
        <b/>
        <sz val="11"/>
        <color theme="1"/>
        <rFont val="Arial"/>
        <family val="2"/>
      </rPr>
      <t>bis 2030:</t>
    </r>
    <r>
      <rPr>
        <sz val="11"/>
        <color theme="1"/>
        <rFont val="Arial"/>
        <family val="2"/>
      </rPr>
      <t xml:space="preserve"> Reduktion durchschnittliche Treibhausgas-Emissionen pro konsumiertes Menü um</t>
    </r>
    <r>
      <rPr>
        <b/>
        <sz val="11"/>
        <color theme="1"/>
        <rFont val="Arial"/>
        <family val="2"/>
      </rPr>
      <t xml:space="preserve"> 40%</t>
    </r>
    <r>
      <rPr>
        <sz val="11"/>
        <color theme="1"/>
        <rFont val="Arial"/>
        <family val="2"/>
      </rPr>
      <t xml:space="preserve"> ggü. Referenzwert 2018</t>
    </r>
  </si>
  <si>
    <r>
      <t>- Dieses Excel-Tool hilft Verpflegungsbetrieben des Kantons Zürich, die Klimabelastung ihrer Menüs zu senken. 
- Es zeigt verschiedene Massnahmen zur Reduktion (Reduktionsoptionen). 
- Es berechnet die durchschnittliche Einsparung an Treibhausgasen (in CO</t>
    </r>
    <r>
      <rPr>
        <vertAlign val="subscript"/>
        <sz val="11"/>
        <color rgb="FF000000"/>
        <rFont val="Arial"/>
        <family val="2"/>
      </rPr>
      <t>2</t>
    </r>
    <r>
      <rPr>
        <sz val="11"/>
        <color rgb="FF000000"/>
        <rFont val="Arial"/>
        <family val="2"/>
      </rPr>
      <t xml:space="preserve">-Äquivalenten) durch diese Massnahmen. 
- Mit dem Excel-Tool kann der Nachweis erbracht werden, ob ein Verpflegungsbetrieb die kantonale Zielsetzung erreicht hat. </t>
    </r>
  </si>
  <si>
    <t xml:space="preserve">- Im Tabellenblatt "2_Grunddaten" die zentralen Daten zum Verpflegungsbetrieb eingegeben. 
- Sich im Tabellenblatt "Übersicht 3A-F" einen Überblick über die Möglichkeiten zur Reduktion der Klimabelastung verschaffen. 
- In den Tabellenblättern 3A bis 3F die Möglichkeiten (Reduktionsoptionen) auswählen, die zum Verpflegungsbetrieb passen. </t>
  </si>
  <si>
    <t xml:space="preserve">Die gewählten Reduktionsoptionen im Betrieb umsetzen. Das kann je nach gewählter Reduktionsoption z.B. heissen, die Menüpläne anzupassen, die Bestellungen und Einkäufe anders zu gestalten oder die Menüausgabe anders anzuordnen. </t>
  </si>
  <si>
    <t xml:space="preserve">-  Im Tabellenblatt "4_Nachweiserbringung" in Spalte N (Wahl) den Filter auf "gewählt" setzen.
- In den Spalten "Eingabefelder" die schwarz umrandeten Felder ausfüllen. 
  Diese Felder enthalten in der Regel Mengenangaben für die verwendeten Lebensmittel.
- Sobald die Zahlen eingegeben sind, wird für jede Reduktionsoption angezeigt, ob das Ziel erreicht wurde (Ja/nein). 
- Am Schluss des Tabellenblatts wird die gesamte ausgewählte Reduktion der Klimabelastung
  sowie die tatsächlich erzielte Reduktion angezeigt. </t>
  </si>
  <si>
    <t>Alle Reduktionsoptionen sind gleich aufgebaut:
- Links steht der Optionstitel. 
- Direkt darunter ist die Baseline, also der Referenzwert, auf dem die Berechnung basiert.
- Die Intensität ist die Ausprägung der Reduktionsoption, es gibt immer 4 Stufen (A bis C und MAX). 
  Diese sind jeweils beschrieben. 
- Für jede Intensität sieht man, wie viel noch zur Verfügung steht (z.B. in Gramm Rind/Kalb pro Menü). 
- Für jede Intensität ist angeben, wie viel Treibhausgas-Reduktionen in Prozent erzielt werden können. 
  Das ist die Reduktion im Vergleich zu einem Durchschnittsmenü 2018. 
- Eine bestimmte Intensität ist erfüllt, wenn die Reduktion im Vergleich zur Baseline erreicht wird.</t>
  </si>
  <si>
    <t>- Nicht alle Reduktionsoptionen können kombiniert werden, weil sie sich zu stark überschneiden. 
- Manche Reduktionsoptionen beeinflussen sich. In diesen Fällen wird nur ein Teil der Treibhausgas-Reduktion angerechnet.
- Wichtig: Das Excel-Tool führt diese Berechnungen automatisch durch. 
- Bei den betreffenden Reduktionsoptionen ist das vermerkt, um die Nachvollziehbarkeit zu verbessern.</t>
  </si>
  <si>
    <t>Version vom 17. Mai 2024</t>
  </si>
  <si>
    <t>Übersicht über die Möglichkeiten zur Reduktion der Klimabelastung von Menüs</t>
  </si>
  <si>
    <t xml:space="preserve">Um die Klimabelastung der Menüs zu verringern, kann in den folgenden Bereichen angesetzt werden. </t>
  </si>
  <si>
    <t xml:space="preserve">Details zu den einzelnen Bereichen sind in den jeweiligen Tabellenblättern enthalten. </t>
  </si>
  <si>
    <t>- Reduktion Zuchtfisch</t>
  </si>
  <si>
    <t>- höhere Verkäufe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</si>
</sst>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
    <numFmt numFmtId="165" formatCode="0.0%"/>
  </numFmts>
  <fonts count="69">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b/>
      <sz val="11"/>
      <color theme="1"/>
      <name val="Calibri"/>
      <family val="2"/>
      <scheme val="minor"/>
    </font>
    <font>
      <b/>
      <sz val="14"/>
      <color rgb="FF000000"/>
      <name val="Helvetica Neue"/>
      <family val="2"/>
    </font>
    <font>
      <b/>
      <sz val="14"/>
      <name val="Helvetica Neue"/>
      <family val="2"/>
    </font>
    <font>
      <i/>
      <sz val="10"/>
      <color rgb="FF000000"/>
      <name val="Helvetica Neue"/>
      <family val="2"/>
    </font>
    <font>
      <i/>
      <sz val="12"/>
      <color rgb="FF000000"/>
      <name val="Helvetica Neue"/>
      <family val="2"/>
    </font>
    <font>
      <b/>
      <i/>
      <sz val="12"/>
      <color rgb="FF000000"/>
      <name val="Helvetica Neue"/>
      <family val="2"/>
    </font>
    <font>
      <sz val="11"/>
      <color theme="1"/>
      <name val="Helvetica Neue"/>
      <family val="2"/>
    </font>
    <font>
      <b/>
      <sz val="10"/>
      <color rgb="FFFEFFFE"/>
      <name val="Helvetica Neue"/>
      <family val="2"/>
    </font>
    <font>
      <b/>
      <sz val="11"/>
      <color theme="1"/>
      <name val="Helvetica Neue"/>
      <family val="2"/>
    </font>
    <font>
      <sz val="10"/>
      <color theme="1"/>
      <name val="Helvetica Neue"/>
      <family val="2"/>
    </font>
    <font>
      <b/>
      <sz val="11"/>
      <name val="Helvetica Neue"/>
      <family val="2"/>
    </font>
    <font>
      <b/>
      <sz val="10"/>
      <color theme="1"/>
      <name val="Helvetica Neue"/>
      <family val="2"/>
    </font>
    <font>
      <sz val="11"/>
      <color rgb="FFFF0000"/>
      <name val="Helvetica Neue"/>
      <family val="2"/>
    </font>
    <font>
      <sz val="11"/>
      <name val="Helvetica Neue"/>
      <family val="2"/>
    </font>
    <font>
      <b/>
      <i/>
      <sz val="14"/>
      <color rgb="FF000000"/>
      <name val="Helvetica Neue"/>
      <family val="2"/>
    </font>
    <font>
      <sz val="11"/>
      <color rgb="FF000000"/>
      <name val="Helvetica Neue"/>
      <family val="2"/>
    </font>
    <font>
      <b/>
      <sz val="14"/>
      <color theme="5" tint="-0.249977111117893"/>
      <name val="Helvetica Neue"/>
      <family val="2"/>
    </font>
    <font>
      <u/>
      <sz val="11"/>
      <color theme="10"/>
      <name val="Calibri"/>
      <family val="2"/>
      <scheme val="minor"/>
    </font>
    <font>
      <b/>
      <sz val="14"/>
      <color rgb="FF000000"/>
      <name val="Arial"/>
      <family val="2"/>
    </font>
    <font>
      <sz val="11"/>
      <color theme="1"/>
      <name val="Arial"/>
      <family val="2"/>
    </font>
    <font>
      <b/>
      <sz val="14"/>
      <name val="Arial"/>
      <family val="2"/>
    </font>
    <font>
      <b/>
      <i/>
      <sz val="10"/>
      <color rgb="FF000000"/>
      <name val="Arial"/>
      <family val="2"/>
    </font>
    <font>
      <i/>
      <sz val="10"/>
      <color rgb="FF000000"/>
      <name val="Arial"/>
      <family val="2"/>
    </font>
    <font>
      <b/>
      <sz val="14"/>
      <color theme="1"/>
      <name val="Arial"/>
      <family val="2"/>
    </font>
    <font>
      <b/>
      <sz val="11"/>
      <color theme="1"/>
      <name val="Arial"/>
      <family val="2"/>
    </font>
    <font>
      <b/>
      <sz val="10"/>
      <name val="Arial"/>
      <family val="2"/>
    </font>
    <font>
      <sz val="11"/>
      <name val="Arial"/>
      <family val="2"/>
    </font>
    <font>
      <b/>
      <sz val="11"/>
      <name val="Arial"/>
      <family val="2"/>
    </font>
    <font>
      <sz val="10"/>
      <name val="Arial"/>
      <family val="2"/>
    </font>
    <font>
      <i/>
      <sz val="10"/>
      <name val="Helvetica Neue"/>
      <family val="2"/>
    </font>
    <font>
      <b/>
      <u/>
      <sz val="11"/>
      <name val="Arial"/>
      <family val="2"/>
    </font>
    <font>
      <b/>
      <sz val="13"/>
      <name val="Arial"/>
      <family val="2"/>
    </font>
    <font>
      <sz val="10.5"/>
      <color theme="1"/>
      <name val="Helvetica Neue"/>
      <family val="2"/>
    </font>
    <font>
      <sz val="11"/>
      <color theme="0"/>
      <name val="Arial"/>
      <family val="2"/>
    </font>
    <font>
      <b/>
      <sz val="11"/>
      <color rgb="FF0070C0"/>
      <name val="Helvetica Neue"/>
      <family val="2"/>
    </font>
    <font>
      <b/>
      <sz val="11"/>
      <color theme="1"/>
      <name val="Helvetica Neue"/>
    </font>
    <font>
      <sz val="11"/>
      <color theme="1"/>
      <name val="Helvetica Neue"/>
    </font>
    <font>
      <i/>
      <sz val="12"/>
      <color rgb="FF000000"/>
      <name val="Helvetica Neue"/>
    </font>
    <font>
      <b/>
      <sz val="8"/>
      <color rgb="FF0A0101"/>
      <name val="Arial"/>
      <family val="2"/>
    </font>
    <font>
      <b/>
      <sz val="10"/>
      <color theme="1"/>
      <name val="Helvetica Neue"/>
    </font>
    <font>
      <sz val="10"/>
      <color theme="1"/>
      <name val="Helvetica Neue"/>
    </font>
    <font>
      <sz val="11"/>
      <name val="Helvetica Neue"/>
    </font>
    <font>
      <b/>
      <sz val="11"/>
      <name val="Helvetica Neue"/>
    </font>
    <font>
      <b/>
      <sz val="10"/>
      <name val="Helvetica Neue"/>
    </font>
    <font>
      <b/>
      <sz val="10"/>
      <color theme="0"/>
      <name val="Helvetica Neue"/>
      <family val="2"/>
    </font>
    <font>
      <sz val="10"/>
      <name val="Helvetica Neue"/>
    </font>
    <font>
      <b/>
      <sz val="11"/>
      <color rgb="FFFF0000"/>
      <name val="Helvetica Neue"/>
    </font>
    <font>
      <b/>
      <sz val="12"/>
      <color rgb="FFFF0000"/>
      <name val="Helvetica Neue"/>
    </font>
    <font>
      <sz val="11"/>
      <color theme="0" tint="-0.14999847407452621"/>
      <name val="Helvetica Neue"/>
      <family val="2"/>
    </font>
    <font>
      <i/>
      <sz val="10"/>
      <name val="Arial"/>
      <family val="2"/>
    </font>
    <font>
      <b/>
      <u/>
      <sz val="11"/>
      <color theme="10"/>
      <name val="Arial"/>
      <family val="2"/>
    </font>
    <font>
      <i/>
      <sz val="11"/>
      <color theme="0" tint="-0.249977111117893"/>
      <name val="Arial"/>
      <family val="2"/>
    </font>
    <font>
      <b/>
      <sz val="11"/>
      <color rgb="FF000000"/>
      <name val="Helvetica Neue"/>
    </font>
    <font>
      <sz val="11"/>
      <color rgb="FF000000"/>
      <name val="Helvetica Neue"/>
    </font>
    <font>
      <sz val="8"/>
      <color rgb="FF000000"/>
      <name val="Segoe UI"/>
      <family val="2"/>
    </font>
    <font>
      <sz val="10"/>
      <color rgb="FFFF0000"/>
      <name val="Helvetica Neue"/>
      <family val="2"/>
    </font>
    <font>
      <sz val="10"/>
      <color rgb="FFFF0000"/>
      <name val="Helvetica Neue"/>
    </font>
    <font>
      <b/>
      <sz val="10"/>
      <color theme="1"/>
      <name val="Arial"/>
      <family val="2"/>
    </font>
    <font>
      <i/>
      <sz val="11"/>
      <color theme="0"/>
      <name val="Arial"/>
      <family val="2"/>
    </font>
    <font>
      <sz val="11"/>
      <color rgb="FF000000"/>
      <name val="Arial"/>
      <family val="2"/>
    </font>
    <font>
      <vertAlign val="subscript"/>
      <sz val="11"/>
      <color rgb="FF000000"/>
      <name val="Arial"/>
      <family val="2"/>
    </font>
    <font>
      <b/>
      <u/>
      <sz val="11"/>
      <color theme="1"/>
      <name val="Arial"/>
      <family val="2"/>
    </font>
    <font>
      <u/>
      <sz val="11"/>
      <color theme="1"/>
      <name val="Calibri"/>
      <family val="2"/>
      <scheme val="minor"/>
    </font>
  </fonts>
  <fills count="24">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theme="0" tint="-0.14999847407452621"/>
        <bgColor theme="0" tint="-0.14999847407452621"/>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14999847407452621"/>
        <bgColor rgb="FF00A2FF"/>
      </patternFill>
    </fill>
    <fill>
      <patternFill patternType="solid">
        <fgColor theme="0" tint="-0.14999847407452621"/>
        <bgColor rgb="FFF7F7F6"/>
      </patternFill>
    </fill>
    <fill>
      <patternFill patternType="solid">
        <fgColor rgb="FF00A2FF"/>
        <bgColor rgb="FF00A2FF"/>
      </patternFill>
    </fill>
    <fill>
      <patternFill patternType="solid">
        <fgColor rgb="FF5DC5FF"/>
        <bgColor indexed="64"/>
      </patternFill>
    </fill>
    <fill>
      <patternFill patternType="solid">
        <fgColor rgb="FF5DC5FF"/>
        <bgColor rgb="FF00A2FF"/>
      </patternFill>
    </fill>
    <fill>
      <patternFill patternType="solid">
        <fgColor rgb="FF5DC5FF"/>
        <bgColor rgb="FFF7F7F6"/>
      </patternFill>
    </fill>
    <fill>
      <patternFill patternType="solid">
        <fgColor rgb="FFFFFF00"/>
        <bgColor indexed="64"/>
      </patternFill>
    </fill>
    <fill>
      <patternFill patternType="solid">
        <fgColor theme="5" tint="0.79998168889431442"/>
        <bgColor indexed="64"/>
      </patternFill>
    </fill>
    <fill>
      <patternFill patternType="solid">
        <fgColor rgb="FF9999FF"/>
        <bgColor indexed="64"/>
      </patternFill>
    </fill>
    <fill>
      <patternFill patternType="solid">
        <fgColor theme="2" tint="-9.9978637043366805E-2"/>
        <bgColor indexed="64"/>
      </patternFill>
    </fill>
    <fill>
      <patternFill patternType="solid">
        <fgColor rgb="FF00B0F0"/>
        <bgColor indexed="64"/>
      </patternFill>
    </fill>
    <fill>
      <patternFill patternType="solid">
        <fgColor theme="2"/>
        <bgColor indexed="64"/>
      </patternFill>
    </fill>
    <fill>
      <patternFill patternType="solid">
        <fgColor theme="0"/>
        <bgColor rgb="FFF7F7F6"/>
      </patternFill>
    </fill>
    <fill>
      <patternFill patternType="solid">
        <fgColor theme="0"/>
        <bgColor rgb="FF00A2FF"/>
      </patternFill>
    </fill>
  </fills>
  <borders count="123">
    <border>
      <left/>
      <right/>
      <top/>
      <bottom/>
      <diagonal/>
    </border>
    <border>
      <left style="thin">
        <color theme="0"/>
      </left>
      <right style="thin">
        <color theme="0"/>
      </right>
      <top style="thin">
        <color theme="0"/>
      </top>
      <bottom style="thin">
        <color theme="0"/>
      </bottom>
      <diagonal/>
    </border>
    <border>
      <left/>
      <right/>
      <top/>
      <bottom style="thin">
        <color theme="2" tint="-0.89999084444715716"/>
      </bottom>
      <diagonal/>
    </border>
    <border>
      <left style="thin">
        <color theme="0"/>
      </left>
      <right style="thin">
        <color theme="0"/>
      </right>
      <top style="thin">
        <color theme="0"/>
      </top>
      <bottom style="thin">
        <color theme="2" tint="-0.89999084444715716"/>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theme="2" tint="-0.89999084444715716"/>
      </bottom>
      <diagonal/>
    </border>
    <border>
      <left style="thin">
        <color indexed="64"/>
      </left>
      <right style="thin">
        <color indexed="64"/>
      </right>
      <top/>
      <bottom/>
      <diagonal/>
    </border>
    <border>
      <left style="thin">
        <color indexed="64"/>
      </left>
      <right style="thin">
        <color indexed="64"/>
      </right>
      <top/>
      <bottom style="thin">
        <color theme="2" tint="-0.89999084444715716"/>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indexed="64"/>
      </bottom>
      <diagonal/>
    </border>
    <border>
      <left/>
      <right/>
      <top style="thin">
        <color theme="2" tint="-0.89999084444715716"/>
      </top>
      <bottom style="thin">
        <color rgb="FFC8C8C8"/>
      </bottom>
      <diagonal/>
    </border>
    <border>
      <left/>
      <right/>
      <top/>
      <bottom style="thin">
        <color rgb="FFC8C8C8"/>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right/>
      <top/>
      <bottom style="thin">
        <color theme="0" tint="-0.499984740745262"/>
      </bottom>
      <diagonal/>
    </border>
    <border>
      <left style="thin">
        <color theme="0" tint="-0.499984740745262"/>
      </left>
      <right style="thin">
        <color theme="0" tint="-0.499984740745262"/>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theme="0"/>
      </bottom>
      <diagonal/>
    </border>
    <border>
      <left/>
      <right style="thin">
        <color indexed="64"/>
      </right>
      <top style="thin">
        <color theme="0"/>
      </top>
      <bottom style="thin">
        <color theme="0"/>
      </bottom>
      <diagonal/>
    </border>
    <border>
      <left/>
      <right style="thin">
        <color indexed="64"/>
      </right>
      <top/>
      <bottom style="thin">
        <color theme="0"/>
      </bottom>
      <diagonal/>
    </border>
    <border>
      <left/>
      <right style="thin">
        <color indexed="64"/>
      </right>
      <top style="thin">
        <color indexed="64"/>
      </top>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theme="1"/>
      </left>
      <right style="thin">
        <color theme="1"/>
      </right>
      <top/>
      <bottom style="thin">
        <color theme="1"/>
      </bottom>
      <diagonal/>
    </border>
    <border>
      <left/>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style="thin">
        <color indexed="64"/>
      </left>
      <right/>
      <top/>
      <bottom style="thin">
        <color theme="2" tint="-0.89999084444715716"/>
      </bottom>
      <diagonal/>
    </border>
    <border>
      <left/>
      <right style="thin">
        <color indexed="64"/>
      </right>
      <top/>
      <bottom style="thin">
        <color theme="2" tint="-0.89999084444715716"/>
      </bottom>
      <diagonal/>
    </border>
    <border>
      <left style="thin">
        <color indexed="64"/>
      </left>
      <right style="thin">
        <color rgb="FFC8C8C8"/>
      </right>
      <top style="thin">
        <color rgb="FFC8C8C8"/>
      </top>
      <bottom style="thin">
        <color indexed="64"/>
      </bottom>
      <diagonal/>
    </border>
    <border>
      <left style="thin">
        <color rgb="FFC8C8C8"/>
      </left>
      <right style="thin">
        <color rgb="FFC8C8C8"/>
      </right>
      <top style="thin">
        <color rgb="FFC8C8C8"/>
      </top>
      <bottom style="thin">
        <color rgb="FFC8C8C8"/>
      </bottom>
      <diagonal/>
    </border>
    <border>
      <left/>
      <right style="thin">
        <color indexed="64"/>
      </right>
      <top style="thin">
        <color rgb="FFC8C8C8"/>
      </top>
      <bottom/>
      <diagonal/>
    </border>
    <border>
      <left style="thin">
        <color indexed="64"/>
      </left>
      <right style="thin">
        <color rgb="FFC8C8C8"/>
      </right>
      <top style="thin">
        <color rgb="FFC8C8C8"/>
      </top>
      <bottom style="thin">
        <color rgb="FFC8C8C8"/>
      </bottom>
      <diagonal/>
    </border>
    <border>
      <left style="thin">
        <color rgb="FFC8C8C8"/>
      </left>
      <right style="thin">
        <color rgb="FF89847F"/>
      </right>
      <top style="thin">
        <color rgb="FFC8C8C8"/>
      </top>
      <bottom style="thin">
        <color rgb="FFC8C8C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n">
        <color theme="0" tint="-0.499984740745262"/>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theme="0"/>
      </right>
      <top style="thin">
        <color theme="0" tint="-0.499984740745262"/>
      </top>
      <bottom/>
      <diagonal/>
    </border>
    <border>
      <left style="thin">
        <color theme="0"/>
      </left>
      <right/>
      <top style="thin">
        <color theme="0" tint="-0.499984740745262"/>
      </top>
      <bottom/>
      <diagonal/>
    </border>
    <border>
      <left style="thin">
        <color theme="0"/>
      </left>
      <right style="thin">
        <color theme="0"/>
      </right>
      <top style="thin">
        <color theme="0" tint="-0.499984740745262"/>
      </top>
      <bottom/>
      <diagonal/>
    </border>
    <border>
      <left style="thin">
        <color theme="1" tint="0.499984740745262"/>
      </left>
      <right/>
      <top style="thin">
        <color theme="1" tint="0.499984740745262"/>
      </top>
      <bottom/>
      <diagonal/>
    </border>
    <border>
      <left style="thin">
        <color theme="0" tint="-0.499984740745262"/>
      </left>
      <right/>
      <top style="thin">
        <color theme="1" tint="0.499984740745262"/>
      </top>
      <bottom/>
      <diagonal/>
    </border>
    <border>
      <left/>
      <right style="thin">
        <color theme="0" tint="-0.499984740745262"/>
      </right>
      <top style="thin">
        <color theme="1" tint="0.499984740745262"/>
      </top>
      <bottom/>
      <diagonal/>
    </border>
    <border>
      <left style="thin">
        <color theme="0" tint="-0.499984740745262"/>
      </left>
      <right style="thin">
        <color theme="0" tint="-0.499984740745262"/>
      </right>
      <top style="thin">
        <color theme="1" tint="0.499984740745262"/>
      </top>
      <bottom/>
      <diagonal/>
    </border>
    <border>
      <left style="thin">
        <color theme="0" tint="-0.499984740745262"/>
      </left>
      <right style="thin">
        <color theme="0" tint="-0.499984740745262"/>
      </right>
      <top style="thin">
        <color theme="1" tint="0.499984740745262"/>
      </top>
      <bottom style="thin">
        <color theme="0" tint="-0.249977111117893"/>
      </bottom>
      <diagonal/>
    </border>
    <border>
      <left style="thin">
        <color theme="0" tint="-0.499984740745262"/>
      </left>
      <right style="thin">
        <color theme="1" tint="0.499984740745262"/>
      </right>
      <top style="thin">
        <color theme="1" tint="0.499984740745262"/>
      </top>
      <bottom/>
      <diagonal/>
    </border>
    <border>
      <left style="thin">
        <color theme="1" tint="0.499984740745262"/>
      </left>
      <right/>
      <top/>
      <bottom style="thin">
        <color theme="0" tint="-0.499984740745262"/>
      </bottom>
      <diagonal/>
    </border>
    <border>
      <left style="thin">
        <color theme="0" tint="-0.499984740745262"/>
      </left>
      <right style="thin">
        <color theme="1" tint="0.499984740745262"/>
      </right>
      <top/>
      <bottom style="thin">
        <color theme="0" tint="-0.499984740745262"/>
      </bottom>
      <diagonal/>
    </border>
    <border>
      <left style="thin">
        <color theme="1" tint="0.499984740745262"/>
      </left>
      <right/>
      <top style="thin">
        <color theme="0" tint="-0.499984740745262"/>
      </top>
      <bottom/>
      <diagonal/>
    </border>
    <border>
      <left style="thin">
        <color theme="0" tint="-0.499984740745262"/>
      </left>
      <right style="thin">
        <color theme="1" tint="0.499984740745262"/>
      </right>
      <top style="thin">
        <color theme="0" tint="-0.499984740745262"/>
      </top>
      <bottom/>
      <diagonal/>
    </border>
    <border>
      <left/>
      <right style="thin">
        <color theme="1" tint="0.499984740745262"/>
      </right>
      <top/>
      <bottom style="thin">
        <color theme="0" tint="-0.499984740745262"/>
      </bottom>
      <diagonal/>
    </border>
    <border>
      <left style="thin">
        <color theme="0" tint="-0.499984740745262"/>
      </left>
      <right style="thin">
        <color theme="1" tint="0.499984740745262"/>
      </right>
      <top style="thin">
        <color theme="0" tint="-0.499984740745262"/>
      </top>
      <bottom style="thin">
        <color theme="0" tint="-0.499984740745262"/>
      </bottom>
      <diagonal/>
    </border>
    <border>
      <left style="thin">
        <color theme="0" tint="-0.499984740745262"/>
      </left>
      <right style="thin">
        <color theme="1" tint="0.499984740745262"/>
      </right>
      <top/>
      <bottom/>
      <diagonal/>
    </border>
    <border>
      <left style="thin">
        <color theme="1" tint="0.499984740745262"/>
      </left>
      <right/>
      <top/>
      <bottom style="thin">
        <color theme="1" tint="0.499984740745262"/>
      </bottom>
      <diagonal/>
    </border>
    <border>
      <left style="thin">
        <color theme="0" tint="-0.499984740745262"/>
      </left>
      <right/>
      <top/>
      <bottom style="thin">
        <color theme="1" tint="0.499984740745262"/>
      </bottom>
      <diagonal/>
    </border>
    <border>
      <left/>
      <right style="thin">
        <color theme="0" tint="-0.499984740745262"/>
      </right>
      <top/>
      <bottom style="thin">
        <color theme="1" tint="0.499984740745262"/>
      </bottom>
      <diagonal/>
    </border>
    <border>
      <left style="thin">
        <color theme="0" tint="-0.499984740745262"/>
      </left>
      <right style="thin">
        <color theme="0" tint="-0.499984740745262"/>
      </right>
      <top/>
      <bottom style="thin">
        <color theme="1" tint="0.499984740745262"/>
      </bottom>
      <diagonal/>
    </border>
    <border>
      <left style="thin">
        <color theme="0" tint="-0.499984740745262"/>
      </left>
      <right style="thin">
        <color theme="1" tint="0.499984740745262"/>
      </right>
      <top/>
      <bottom style="thin">
        <color theme="1" tint="0.499984740745262"/>
      </bottom>
      <diagonal/>
    </border>
    <border>
      <left style="thin">
        <color indexed="64"/>
      </left>
      <right style="thin">
        <color rgb="FFC8C8C8"/>
      </right>
      <top style="thin">
        <color rgb="FFC8C8C8"/>
      </top>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style="thin">
        <color indexed="64"/>
      </right>
      <top style="thin">
        <color theme="0"/>
      </top>
      <bottom/>
      <diagonal/>
    </border>
    <border>
      <left style="thin">
        <color theme="0"/>
      </left>
      <right style="thin">
        <color indexed="64"/>
      </right>
      <top/>
      <bottom/>
      <diagonal/>
    </border>
    <border>
      <left style="thin">
        <color theme="0"/>
      </left>
      <right style="thin">
        <color indexed="64"/>
      </right>
      <top/>
      <bottom style="thin">
        <color indexed="64"/>
      </bottom>
      <diagonal/>
    </border>
    <border>
      <left style="thin">
        <color indexed="64"/>
      </left>
      <right style="thin">
        <color theme="0"/>
      </right>
      <top/>
      <bottom style="thin">
        <color theme="0"/>
      </bottom>
      <diagonal/>
    </border>
    <border>
      <left style="thin">
        <color theme="0"/>
      </left>
      <right style="thin">
        <color indexed="64"/>
      </right>
      <top/>
      <bottom style="thin">
        <color theme="0"/>
      </bottom>
      <diagonal/>
    </border>
    <border>
      <left style="thin">
        <color theme="0"/>
      </left>
      <right style="thin">
        <color indexed="64"/>
      </right>
      <top style="thin">
        <color theme="0"/>
      </top>
      <bottom style="thin">
        <color theme="2" tint="-0.89999084444715716"/>
      </bottom>
      <diagonal/>
    </border>
    <border>
      <left style="thin">
        <color indexed="64"/>
      </left>
      <right style="thin">
        <color theme="0"/>
      </right>
      <top style="thin">
        <color theme="0"/>
      </top>
      <bottom style="thin">
        <color theme="2" tint="-0.89999084444715716"/>
      </bottom>
      <diagonal/>
    </border>
    <border>
      <left style="thin">
        <color theme="0"/>
      </left>
      <right style="thin">
        <color indexed="64"/>
      </right>
      <top style="thin">
        <color theme="2" tint="-0.89999084444715716"/>
      </top>
      <bottom style="thin">
        <color theme="0"/>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rgb="FFC8C8C8"/>
      </left>
      <right/>
      <top style="thin">
        <color rgb="FFC8C8C8"/>
      </top>
      <bottom style="thin">
        <color rgb="FFC8C8C8"/>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indexed="64"/>
      </left>
      <right/>
      <top style="thin">
        <color rgb="FFC8C8C8"/>
      </top>
      <bottom style="thin">
        <color indexed="64"/>
      </bottom>
      <diagonal/>
    </border>
    <border>
      <left style="thin">
        <color theme="0"/>
      </left>
      <right style="thin">
        <color theme="0"/>
      </right>
      <top style="thin">
        <color indexed="64"/>
      </top>
      <bottom style="thin">
        <color theme="0"/>
      </bottom>
      <diagonal/>
    </border>
    <border>
      <left/>
      <right/>
      <top style="thin">
        <color indexed="64"/>
      </top>
      <bottom style="thin">
        <color theme="0"/>
      </bottom>
      <diagonal/>
    </border>
    <border>
      <left style="thin">
        <color indexed="64"/>
      </left>
      <right style="thin">
        <color indexed="64"/>
      </right>
      <top style="thin">
        <color indexed="64"/>
      </top>
      <bottom style="thin">
        <color theme="0"/>
      </bottom>
      <diagonal/>
    </border>
    <border>
      <left/>
      <right/>
      <top style="thin">
        <color theme="0"/>
      </top>
      <bottom style="thin">
        <color theme="0"/>
      </bottom>
      <diagonal/>
    </border>
    <border>
      <left/>
      <right style="thin">
        <color theme="0"/>
      </right>
      <top/>
      <bottom style="thin">
        <color indexed="64"/>
      </bottom>
      <diagonal/>
    </border>
    <border>
      <left style="thin">
        <color theme="0"/>
      </left>
      <right style="thin">
        <color theme="0"/>
      </right>
      <top/>
      <bottom style="thin">
        <color indexed="64"/>
      </bottom>
      <diagonal/>
    </border>
    <border>
      <left/>
      <right style="thin">
        <color theme="0"/>
      </right>
      <top style="thin">
        <color indexed="64"/>
      </top>
      <bottom style="thin">
        <color theme="0"/>
      </bottom>
      <diagonal/>
    </border>
    <border>
      <left style="thin">
        <color indexed="64"/>
      </left>
      <right/>
      <top style="thin">
        <color indexed="64"/>
      </top>
      <bottom/>
      <diagonal/>
    </border>
    <border>
      <left style="thin">
        <color rgb="FFC00000"/>
      </left>
      <right/>
      <top style="thin">
        <color rgb="FFC00000"/>
      </top>
      <bottom style="medium">
        <color indexed="64"/>
      </bottom>
      <diagonal/>
    </border>
    <border>
      <left/>
      <right/>
      <top style="thin">
        <color rgb="FFC00000"/>
      </top>
      <bottom style="medium">
        <color indexed="64"/>
      </bottom>
      <diagonal/>
    </border>
    <border>
      <left/>
      <right style="thin">
        <color rgb="FFC00000"/>
      </right>
      <top style="thin">
        <color rgb="FFC00000"/>
      </top>
      <bottom style="medium">
        <color indexed="64"/>
      </bottom>
      <diagonal/>
    </border>
  </borders>
  <cellStyleXfs count="5">
    <xf numFmtId="0" fontId="0" fillId="0" borderId="0"/>
    <xf numFmtId="9" fontId="5" fillId="0" borderId="0" applyFont="0" applyFill="0" applyBorder="0" applyAlignment="0" applyProtection="0"/>
    <xf numFmtId="43" fontId="5" fillId="0" borderId="0" applyFont="0" applyFill="0" applyBorder="0" applyAlignment="0" applyProtection="0"/>
    <xf numFmtId="0" fontId="23" fillId="0" borderId="0" applyNumberFormat="0" applyFill="0" applyBorder="0" applyAlignment="0" applyProtection="0"/>
    <xf numFmtId="43" fontId="5" fillId="0" borderId="0" applyFont="0" applyFill="0" applyBorder="0" applyAlignment="0" applyProtection="0"/>
  </cellStyleXfs>
  <cellXfs count="621">
    <xf numFmtId="0" fontId="0" fillId="0" borderId="0" xfId="0"/>
    <xf numFmtId="0" fontId="12" fillId="5" borderId="0" xfId="0" applyFont="1" applyFill="1"/>
    <xf numFmtId="0" fontId="12" fillId="5" borderId="0" xfId="0" applyFont="1" applyFill="1" applyAlignment="1">
      <alignment vertical="top" wrapText="1"/>
    </xf>
    <xf numFmtId="0" fontId="12" fillId="0" borderId="0" xfId="0" applyFont="1"/>
    <xf numFmtId="0" fontId="12" fillId="3" borderId="0" xfId="0" applyFont="1" applyFill="1" applyAlignment="1">
      <alignment vertical="top" wrapText="1"/>
    </xf>
    <xf numFmtId="0" fontId="12" fillId="6" borderId="1" xfId="0" applyFont="1" applyFill="1" applyBorder="1" applyAlignment="1">
      <alignment horizontal="left" vertical="center"/>
    </xf>
    <xf numFmtId="0" fontId="12" fillId="6" borderId="1" xfId="0" applyFont="1" applyFill="1" applyBorder="1"/>
    <xf numFmtId="0" fontId="12" fillId="7" borderId="0" xfId="0" applyFont="1" applyFill="1"/>
    <xf numFmtId="0" fontId="12" fillId="0" borderId="0" xfId="0" applyFont="1" applyAlignment="1">
      <alignment wrapText="1"/>
    </xf>
    <xf numFmtId="0" fontId="14" fillId="0" borderId="0" xfId="0" applyFont="1" applyAlignment="1">
      <alignment vertical="center"/>
    </xf>
    <xf numFmtId="10" fontId="12" fillId="6" borderId="1" xfId="0" applyNumberFormat="1" applyFont="1" applyFill="1" applyBorder="1" applyAlignment="1">
      <alignment vertical="center"/>
    </xf>
    <xf numFmtId="0" fontId="12" fillId="6" borderId="18" xfId="0" applyFont="1" applyFill="1" applyBorder="1"/>
    <xf numFmtId="0" fontId="14" fillId="0" borderId="6" xfId="0" applyFont="1" applyBorder="1" applyAlignment="1">
      <alignment vertical="center"/>
    </xf>
    <xf numFmtId="0" fontId="12" fillId="6" borderId="5" xfId="0" applyFont="1" applyFill="1" applyBorder="1" applyAlignment="1">
      <alignment horizontal="left" vertical="center"/>
    </xf>
    <xf numFmtId="10" fontId="12" fillId="6" borderId="5" xfId="0" applyNumberFormat="1" applyFont="1" applyFill="1" applyBorder="1" applyAlignment="1">
      <alignment vertical="center"/>
    </xf>
    <xf numFmtId="0" fontId="12" fillId="6" borderId="3" xfId="0" applyFont="1" applyFill="1" applyBorder="1"/>
    <xf numFmtId="10" fontId="12" fillId="6" borderId="19" xfId="1" applyNumberFormat="1" applyFont="1" applyFill="1" applyBorder="1" applyAlignment="1">
      <alignment vertical="center"/>
    </xf>
    <xf numFmtId="49" fontId="14" fillId="0" borderId="0" xfId="0" applyNumberFormat="1" applyFont="1" applyAlignment="1">
      <alignment horizontal="left" vertical="center"/>
    </xf>
    <xf numFmtId="0" fontId="12" fillId="0" borderId="0" xfId="0" applyFont="1" applyAlignment="1">
      <alignment horizontal="left" vertical="center" wrapText="1"/>
    </xf>
    <xf numFmtId="0" fontId="12" fillId="0" borderId="20" xfId="0" applyFont="1" applyBorder="1" applyAlignment="1">
      <alignment wrapText="1"/>
    </xf>
    <xf numFmtId="0" fontId="12" fillId="0" borderId="0" xfId="0" applyFont="1" applyAlignment="1">
      <alignment horizontal="left" vertical="center"/>
    </xf>
    <xf numFmtId="0" fontId="12" fillId="0" borderId="20" xfId="0" applyFont="1" applyBorder="1"/>
    <xf numFmtId="0" fontId="12" fillId="0" borderId="6" xfId="0" applyFont="1" applyBorder="1" applyAlignment="1">
      <alignment horizontal="left" vertical="center"/>
    </xf>
    <xf numFmtId="0" fontId="12" fillId="0" borderId="6" xfId="0" applyFont="1" applyBorder="1" applyAlignment="1">
      <alignment horizontal="left" vertical="center" wrapText="1"/>
    </xf>
    <xf numFmtId="10" fontId="12" fillId="0" borderId="6" xfId="1" applyNumberFormat="1" applyFont="1" applyBorder="1"/>
    <xf numFmtId="0" fontId="12" fillId="0" borderId="2" xfId="0" applyFont="1" applyBorder="1"/>
    <xf numFmtId="10" fontId="12" fillId="0" borderId="21" xfId="1" applyNumberFormat="1" applyFont="1" applyBorder="1" applyAlignment="1">
      <alignment vertical="center"/>
    </xf>
    <xf numFmtId="0" fontId="12" fillId="6" borderId="4" xfId="0" applyFont="1" applyFill="1" applyBorder="1" applyAlignment="1">
      <alignment horizontal="left" vertical="center"/>
    </xf>
    <xf numFmtId="10" fontId="12" fillId="6" borderId="4" xfId="1" applyNumberFormat="1" applyFont="1" applyFill="1" applyBorder="1"/>
    <xf numFmtId="0" fontId="12" fillId="6" borderId="4" xfId="0" applyFont="1" applyFill="1" applyBorder="1"/>
    <xf numFmtId="0" fontId="12" fillId="6" borderId="22" xfId="0" applyFont="1" applyFill="1" applyBorder="1"/>
    <xf numFmtId="10" fontId="12" fillId="6" borderId="1" xfId="1" applyNumberFormat="1" applyFont="1" applyFill="1" applyBorder="1"/>
    <xf numFmtId="10" fontId="12" fillId="6" borderId="5" xfId="1" applyNumberFormat="1" applyFont="1" applyFill="1" applyBorder="1"/>
    <xf numFmtId="0" fontId="14" fillId="0" borderId="0" xfId="0" applyFont="1" applyAlignment="1">
      <alignment horizontal="left" vertical="center"/>
    </xf>
    <xf numFmtId="10" fontId="12" fillId="6" borderId="4" xfId="0" applyNumberFormat="1" applyFont="1" applyFill="1" applyBorder="1"/>
    <xf numFmtId="10" fontId="12" fillId="6" borderId="1" xfId="0" applyNumberFormat="1" applyFont="1" applyFill="1" applyBorder="1"/>
    <xf numFmtId="10" fontId="12" fillId="6" borderId="5" xfId="0" applyNumberFormat="1" applyFont="1" applyFill="1" applyBorder="1"/>
    <xf numFmtId="10" fontId="12" fillId="6" borderId="19" xfId="1" applyNumberFormat="1" applyFont="1" applyFill="1" applyBorder="1"/>
    <xf numFmtId="49" fontId="14" fillId="0" borderId="24" xfId="0" applyNumberFormat="1" applyFont="1" applyBorder="1" applyAlignment="1">
      <alignment horizontal="left" vertical="center"/>
    </xf>
    <xf numFmtId="0" fontId="12" fillId="0" borderId="2" xfId="0" applyFont="1" applyBorder="1" applyAlignment="1">
      <alignment horizontal="left" vertical="center"/>
    </xf>
    <xf numFmtId="10" fontId="12" fillId="0" borderId="2" xfId="1" applyNumberFormat="1" applyFont="1" applyBorder="1"/>
    <xf numFmtId="10" fontId="12" fillId="0" borderId="21" xfId="1" applyNumberFormat="1" applyFont="1" applyBorder="1" applyAlignment="1"/>
    <xf numFmtId="10" fontId="12" fillId="6" borderId="23" xfId="1" applyNumberFormat="1" applyFont="1" applyFill="1" applyBorder="1" applyAlignment="1">
      <alignment vertical="center"/>
    </xf>
    <xf numFmtId="49" fontId="14" fillId="0" borderId="25" xfId="0" applyNumberFormat="1" applyFont="1" applyBorder="1" applyAlignment="1">
      <alignment vertical="center"/>
    </xf>
    <xf numFmtId="9" fontId="12" fillId="6" borderId="4" xfId="0" applyNumberFormat="1" applyFont="1" applyFill="1" applyBorder="1" applyAlignment="1">
      <alignment vertical="center"/>
    </xf>
    <xf numFmtId="0" fontId="12" fillId="0" borderId="0" xfId="0" applyFont="1" applyAlignment="1">
      <alignment vertical="center"/>
    </xf>
    <xf numFmtId="164" fontId="12" fillId="6" borderId="1" xfId="0" applyNumberFormat="1" applyFont="1" applyFill="1" applyBorder="1" applyAlignment="1">
      <alignment horizontal="left" vertical="center"/>
    </xf>
    <xf numFmtId="164" fontId="12" fillId="6" borderId="5" xfId="0" applyNumberFormat="1" applyFont="1" applyFill="1" applyBorder="1" applyAlignment="1">
      <alignment horizontal="left" vertical="center"/>
    </xf>
    <xf numFmtId="164" fontId="12" fillId="6" borderId="4" xfId="0" applyNumberFormat="1" applyFont="1" applyFill="1" applyBorder="1" applyAlignment="1">
      <alignment horizontal="left" vertical="center"/>
    </xf>
    <xf numFmtId="0" fontId="12" fillId="0" borderId="6" xfId="0" applyFont="1" applyBorder="1"/>
    <xf numFmtId="10" fontId="12" fillId="7" borderId="6" xfId="1" applyNumberFormat="1" applyFont="1" applyFill="1" applyBorder="1"/>
    <xf numFmtId="0" fontId="12" fillId="7" borderId="6" xfId="0" applyFont="1" applyFill="1" applyBorder="1"/>
    <xf numFmtId="0" fontId="12" fillId="0" borderId="39" xfId="0" applyFont="1" applyBorder="1" applyAlignment="1">
      <alignment wrapText="1"/>
    </xf>
    <xf numFmtId="0" fontId="12" fillId="0" borderId="39" xfId="0" applyFont="1" applyBorder="1"/>
    <xf numFmtId="0" fontId="12" fillId="0" borderId="38" xfId="0" applyFont="1" applyBorder="1"/>
    <xf numFmtId="0" fontId="12" fillId="6" borderId="38" xfId="0" applyFont="1" applyFill="1" applyBorder="1"/>
    <xf numFmtId="0" fontId="12" fillId="6" borderId="40" xfId="0" applyFont="1" applyFill="1" applyBorder="1"/>
    <xf numFmtId="0" fontId="12" fillId="6" borderId="41" xfId="0" applyFont="1" applyFill="1" applyBorder="1"/>
    <xf numFmtId="0" fontId="12" fillId="6" borderId="42" xfId="0" applyFont="1" applyFill="1" applyBorder="1"/>
    <xf numFmtId="0" fontId="12" fillId="6" borderId="44" xfId="0" applyFont="1" applyFill="1" applyBorder="1" applyAlignment="1">
      <alignment horizontal="left" vertical="center"/>
    </xf>
    <xf numFmtId="0" fontId="12" fillId="6" borderId="45" xfId="0" applyFont="1" applyFill="1" applyBorder="1" applyAlignment="1">
      <alignment horizontal="left" vertical="center"/>
    </xf>
    <xf numFmtId="0" fontId="12" fillId="6" borderId="46" xfId="0" applyFont="1" applyFill="1" applyBorder="1" applyAlignment="1">
      <alignment horizontal="left" vertical="center"/>
    </xf>
    <xf numFmtId="0" fontId="14" fillId="0" borderId="0" xfId="0" applyFont="1"/>
    <xf numFmtId="49" fontId="8" fillId="14" borderId="47" xfId="0" applyNumberFormat="1" applyFont="1" applyFill="1" applyBorder="1" applyAlignment="1">
      <alignment vertical="top"/>
    </xf>
    <xf numFmtId="0" fontId="12" fillId="5" borderId="47" xfId="0" applyFont="1" applyFill="1" applyBorder="1" applyAlignment="1">
      <alignment vertical="center"/>
    </xf>
    <xf numFmtId="0" fontId="14" fillId="6" borderId="48" xfId="0" applyFont="1" applyFill="1" applyBorder="1" applyAlignment="1">
      <alignment horizontal="right" vertical="center"/>
    </xf>
    <xf numFmtId="0" fontId="14" fillId="6" borderId="20" xfId="0" applyFont="1" applyFill="1" applyBorder="1" applyAlignment="1">
      <alignment horizontal="right" vertical="center"/>
    </xf>
    <xf numFmtId="0" fontId="14" fillId="6" borderId="37" xfId="0" applyFont="1" applyFill="1" applyBorder="1" applyAlignment="1">
      <alignment horizontal="right" vertical="center"/>
    </xf>
    <xf numFmtId="0" fontId="14" fillId="0" borderId="48" xfId="0" applyFont="1" applyBorder="1" applyAlignment="1">
      <alignment horizontal="right" vertical="center" wrapText="1"/>
    </xf>
    <xf numFmtId="0" fontId="14" fillId="0" borderId="20" xfId="0" applyFont="1" applyBorder="1" applyAlignment="1">
      <alignment horizontal="right" vertical="center"/>
    </xf>
    <xf numFmtId="0" fontId="14" fillId="0" borderId="37" xfId="0" applyFont="1" applyBorder="1" applyAlignment="1">
      <alignment horizontal="right" vertical="center"/>
    </xf>
    <xf numFmtId="0" fontId="14" fillId="0" borderId="48" xfId="0" applyFont="1" applyBorder="1" applyAlignment="1">
      <alignment horizontal="right" vertical="center"/>
    </xf>
    <xf numFmtId="0" fontId="14" fillId="0" borderId="49" xfId="0" applyFont="1" applyBorder="1" applyAlignment="1">
      <alignment vertical="center"/>
    </xf>
    <xf numFmtId="0" fontId="14" fillId="0" borderId="50" xfId="0" applyFont="1" applyBorder="1" applyAlignment="1">
      <alignment vertical="center"/>
    </xf>
    <xf numFmtId="0" fontId="7" fillId="13" borderId="47" xfId="0" applyFont="1" applyFill="1" applyBorder="1" applyAlignment="1">
      <alignment horizontal="left" vertical="top" wrapText="1"/>
    </xf>
    <xf numFmtId="49" fontId="9" fillId="15" borderId="47" xfId="0" applyNumberFormat="1" applyFont="1" applyFill="1" applyBorder="1" applyAlignment="1">
      <alignment horizontal="left" vertical="center" wrapText="1"/>
    </xf>
    <xf numFmtId="49" fontId="10" fillId="15" borderId="47" xfId="0" applyNumberFormat="1" applyFont="1" applyFill="1" applyBorder="1" applyAlignment="1">
      <alignment vertical="top" wrapText="1"/>
    </xf>
    <xf numFmtId="10" fontId="11" fillId="15" borderId="43" xfId="1" applyNumberFormat="1" applyFont="1" applyFill="1" applyBorder="1" applyAlignment="1">
      <alignment vertical="top" wrapText="1"/>
    </xf>
    <xf numFmtId="10" fontId="14" fillId="6" borderId="51" xfId="0" applyNumberFormat="1" applyFont="1" applyFill="1" applyBorder="1"/>
    <xf numFmtId="0" fontId="13" fillId="12" borderId="7" xfId="0" applyFont="1" applyFill="1" applyBorder="1" applyAlignment="1">
      <alignment horizontal="center" vertical="center" wrapText="1"/>
    </xf>
    <xf numFmtId="0" fontId="13" fillId="12" borderId="52" xfId="0" applyFont="1" applyFill="1" applyBorder="1" applyAlignment="1">
      <alignment horizontal="center" vertical="center" wrapText="1"/>
    </xf>
    <xf numFmtId="0" fontId="13" fillId="12" borderId="53" xfId="0" applyFont="1" applyFill="1" applyBorder="1" applyAlignment="1">
      <alignment horizontal="center" vertical="center" wrapText="1"/>
    </xf>
    <xf numFmtId="0" fontId="13" fillId="12" borderId="54" xfId="0" applyFont="1" applyFill="1" applyBorder="1" applyAlignment="1">
      <alignment horizontal="center" vertical="center" wrapText="1"/>
    </xf>
    <xf numFmtId="0" fontId="12" fillId="8" borderId="52" xfId="0" applyFont="1" applyFill="1" applyBorder="1" applyAlignment="1">
      <alignment wrapText="1"/>
    </xf>
    <xf numFmtId="0" fontId="12" fillId="8" borderId="52" xfId="0" applyFont="1" applyFill="1" applyBorder="1"/>
    <xf numFmtId="0" fontId="13" fillId="12" borderId="8" xfId="0" applyFont="1" applyFill="1" applyBorder="1" applyAlignment="1">
      <alignment horizontal="center" vertical="center" wrapText="1"/>
    </xf>
    <xf numFmtId="0" fontId="14" fillId="6" borderId="49" xfId="0" applyFont="1" applyFill="1" applyBorder="1" applyAlignment="1">
      <alignment vertical="center"/>
    </xf>
    <xf numFmtId="0" fontId="12" fillId="7" borderId="0" xfId="0" applyFont="1" applyFill="1" applyAlignment="1">
      <alignment wrapText="1"/>
    </xf>
    <xf numFmtId="10" fontId="12" fillId="7" borderId="0" xfId="1" applyNumberFormat="1" applyFont="1" applyFill="1" applyBorder="1"/>
    <xf numFmtId="0" fontId="14" fillId="0" borderId="49" xfId="0" applyFont="1" applyBorder="1" applyAlignment="1">
      <alignment vertical="center" wrapText="1"/>
    </xf>
    <xf numFmtId="9" fontId="12" fillId="0" borderId="0" xfId="0" applyNumberFormat="1" applyFont="1" applyAlignment="1">
      <alignment wrapText="1"/>
    </xf>
    <xf numFmtId="0" fontId="12" fillId="0" borderId="0" xfId="0" applyFont="1" applyAlignment="1">
      <alignment vertical="center" wrapText="1"/>
    </xf>
    <xf numFmtId="10" fontId="12" fillId="0" borderId="0" xfId="0" applyNumberFormat="1" applyFont="1"/>
    <xf numFmtId="10" fontId="12" fillId="0" borderId="0" xfId="1" applyNumberFormat="1" applyFont="1" applyBorder="1"/>
    <xf numFmtId="0" fontId="12" fillId="0" borderId="0" xfId="2" applyNumberFormat="1" applyFont="1" applyBorder="1" applyAlignment="1">
      <alignment horizontal="left" vertical="center" wrapText="1"/>
    </xf>
    <xf numFmtId="0" fontId="12" fillId="0" borderId="0" xfId="2" applyNumberFormat="1" applyFont="1" applyBorder="1" applyAlignment="1">
      <alignment horizontal="left" vertical="center"/>
    </xf>
    <xf numFmtId="10" fontId="12" fillId="0" borderId="0" xfId="0" applyNumberFormat="1" applyFont="1" applyAlignment="1">
      <alignment horizontal="left" vertical="center"/>
    </xf>
    <xf numFmtId="0" fontId="14" fillId="0" borderId="55" xfId="0" applyFont="1" applyBorder="1" applyAlignment="1">
      <alignment vertical="center"/>
    </xf>
    <xf numFmtId="0" fontId="7" fillId="13" borderId="7" xfId="0" applyFont="1" applyFill="1" applyBorder="1" applyAlignment="1">
      <alignment horizontal="left" vertical="top" wrapText="1"/>
    </xf>
    <xf numFmtId="49" fontId="14" fillId="0" borderId="0" xfId="0" applyNumberFormat="1" applyFont="1" applyAlignment="1">
      <alignment horizontal="left" vertical="center" wrapText="1"/>
    </xf>
    <xf numFmtId="0" fontId="14" fillId="0" borderId="0" xfId="0" applyFont="1" applyAlignment="1">
      <alignment horizontal="left" vertical="center" wrapText="1"/>
    </xf>
    <xf numFmtId="0" fontId="14" fillId="0" borderId="49" xfId="0" applyFont="1" applyBorder="1" applyAlignment="1">
      <alignment horizontal="right" vertical="center"/>
    </xf>
    <xf numFmtId="0" fontId="12" fillId="6" borderId="38" xfId="0" applyFont="1" applyFill="1" applyBorder="1" applyAlignment="1">
      <alignment vertical="center" wrapText="1"/>
    </xf>
    <xf numFmtId="0" fontId="12" fillId="6" borderId="40" xfId="0" applyFont="1" applyFill="1" applyBorder="1" applyAlignment="1">
      <alignment vertical="center" wrapText="1"/>
    </xf>
    <xf numFmtId="0" fontId="12" fillId="6" borderId="41" xfId="0" applyFont="1" applyFill="1" applyBorder="1" applyAlignment="1">
      <alignment vertical="center" wrapText="1"/>
    </xf>
    <xf numFmtId="49" fontId="12" fillId="0" borderId="58" xfId="0" applyNumberFormat="1" applyFont="1" applyBorder="1" applyAlignment="1">
      <alignment vertical="top" wrapText="1"/>
    </xf>
    <xf numFmtId="49" fontId="12" fillId="0" borderId="57" xfId="0" applyNumberFormat="1" applyFont="1" applyBorder="1" applyAlignment="1">
      <alignment vertical="top" wrapText="1"/>
    </xf>
    <xf numFmtId="0" fontId="12" fillId="0" borderId="39" xfId="0" applyFont="1" applyBorder="1" applyAlignment="1">
      <alignment vertical="top" wrapText="1"/>
    </xf>
    <xf numFmtId="0" fontId="19" fillId="0" borderId="0" xfId="2" applyNumberFormat="1" applyFont="1" applyBorder="1" applyAlignment="1">
      <alignment horizontal="left" vertical="center" wrapText="1"/>
    </xf>
    <xf numFmtId="0" fontId="19" fillId="0" borderId="0" xfId="2" applyNumberFormat="1" applyFont="1" applyBorder="1" applyAlignment="1">
      <alignment horizontal="left" vertical="center"/>
    </xf>
    <xf numFmtId="49" fontId="14" fillId="4" borderId="61" xfId="0" applyNumberFormat="1" applyFont="1" applyFill="1" applyBorder="1" applyAlignment="1">
      <alignment vertical="center" wrapText="1"/>
    </xf>
    <xf numFmtId="0" fontId="12" fillId="6" borderId="44" xfId="0" applyFont="1" applyFill="1" applyBorder="1" applyAlignment="1">
      <alignment horizontal="left" vertical="center" wrapText="1"/>
    </xf>
    <xf numFmtId="0" fontId="12" fillId="6" borderId="45" xfId="0" applyFont="1" applyFill="1" applyBorder="1" applyAlignment="1">
      <alignment horizontal="left" vertical="center" wrapText="1"/>
    </xf>
    <xf numFmtId="0" fontId="22" fillId="13" borderId="47" xfId="0" applyFont="1" applyFill="1" applyBorder="1" applyAlignment="1">
      <alignment horizontal="left" vertical="top" wrapText="1"/>
    </xf>
    <xf numFmtId="164" fontId="19" fillId="6" borderId="4" xfId="0" applyNumberFormat="1" applyFont="1" applyFill="1" applyBorder="1" applyAlignment="1">
      <alignment horizontal="left" vertical="center"/>
    </xf>
    <xf numFmtId="164" fontId="19" fillId="6" borderId="1" xfId="0" applyNumberFormat="1" applyFont="1" applyFill="1" applyBorder="1" applyAlignment="1">
      <alignment horizontal="left" vertical="center"/>
    </xf>
    <xf numFmtId="164" fontId="19" fillId="6" borderId="5" xfId="0" applyNumberFormat="1" applyFont="1" applyFill="1" applyBorder="1" applyAlignment="1">
      <alignment horizontal="left" vertical="center"/>
    </xf>
    <xf numFmtId="10" fontId="20" fillId="15" borderId="47" xfId="1" applyNumberFormat="1" applyFont="1" applyFill="1" applyBorder="1" applyAlignment="1">
      <alignment vertical="center" wrapText="1"/>
    </xf>
    <xf numFmtId="0" fontId="12" fillId="0" borderId="2" xfId="2" applyNumberFormat="1" applyFont="1" applyBorder="1" applyAlignment="1">
      <alignment horizontal="left" vertical="center"/>
    </xf>
    <xf numFmtId="0" fontId="7" fillId="13" borderId="0" xfId="0" applyFont="1" applyFill="1" applyAlignment="1">
      <alignment horizontal="left" vertical="top" wrapText="1"/>
    </xf>
    <xf numFmtId="0" fontId="7" fillId="13" borderId="0" xfId="0" applyFont="1" applyFill="1" applyAlignment="1">
      <alignment horizontal="left" vertical="center"/>
    </xf>
    <xf numFmtId="0" fontId="19" fillId="0" borderId="0" xfId="0" applyFont="1" applyAlignment="1">
      <alignment horizontal="left" vertical="center"/>
    </xf>
    <xf numFmtId="0" fontId="19" fillId="6" borderId="45" xfId="0" applyFont="1" applyFill="1" applyBorder="1" applyAlignment="1">
      <alignment horizontal="left" vertical="center"/>
    </xf>
    <xf numFmtId="0" fontId="19" fillId="0" borderId="0" xfId="0" applyFont="1" applyAlignment="1">
      <alignment horizontal="left" vertical="center" wrapText="1"/>
    </xf>
    <xf numFmtId="0" fontId="19" fillId="0" borderId="6" xfId="0" applyFont="1" applyBorder="1" applyAlignment="1">
      <alignment horizontal="left" vertical="center"/>
    </xf>
    <xf numFmtId="0" fontId="24" fillId="13" borderId="0" xfId="0" applyFont="1" applyFill="1" applyAlignment="1">
      <alignment horizontal="left" vertical="top"/>
    </xf>
    <xf numFmtId="0" fontId="24" fillId="13" borderId="0" xfId="0" applyFont="1" applyFill="1" applyAlignment="1">
      <alignment horizontal="left" vertical="top" wrapText="1"/>
    </xf>
    <xf numFmtId="0" fontId="24" fillId="9" borderId="0" xfId="0" applyFont="1" applyFill="1" applyAlignment="1">
      <alignment horizontal="left" vertical="top"/>
    </xf>
    <xf numFmtId="0" fontId="24" fillId="9" borderId="0" xfId="0" applyFont="1" applyFill="1" applyAlignment="1">
      <alignment horizontal="left" vertical="top" wrapText="1"/>
    </xf>
    <xf numFmtId="0" fontId="25" fillId="2" borderId="0" xfId="0" applyFont="1" applyFill="1" applyAlignment="1">
      <alignment vertical="top" wrapText="1"/>
    </xf>
    <xf numFmtId="0" fontId="25" fillId="6" borderId="10" xfId="0" applyFont="1" applyFill="1" applyBorder="1" applyAlignment="1">
      <alignment vertical="top" wrapText="1"/>
    </xf>
    <xf numFmtId="0" fontId="24" fillId="6" borderId="11" xfId="0" applyFont="1" applyFill="1" applyBorder="1" applyAlignment="1">
      <alignment horizontal="left" vertical="top"/>
    </xf>
    <xf numFmtId="49" fontId="26" fillId="10" borderId="11" xfId="0" applyNumberFormat="1" applyFont="1" applyFill="1" applyBorder="1" applyAlignment="1">
      <alignment vertical="top"/>
    </xf>
    <xf numFmtId="49" fontId="27" fillId="11" borderId="11" xfId="0" applyNumberFormat="1" applyFont="1" applyFill="1" applyBorder="1" applyAlignment="1">
      <alignment vertical="top" wrapText="1"/>
    </xf>
    <xf numFmtId="49" fontId="28" fillId="11" borderId="12" xfId="0" applyNumberFormat="1" applyFont="1" applyFill="1" applyBorder="1" applyAlignment="1">
      <alignment horizontal="left" vertical="center" wrapText="1"/>
    </xf>
    <xf numFmtId="0" fontId="25" fillId="6" borderId="13" xfId="0" applyFont="1" applyFill="1" applyBorder="1" applyAlignment="1">
      <alignment vertical="top" wrapText="1"/>
    </xf>
    <xf numFmtId="0" fontId="29" fillId="6" borderId="0" xfId="0" applyFont="1" applyFill="1" applyAlignment="1">
      <alignment horizontal="left"/>
    </xf>
    <xf numFmtId="0" fontId="30" fillId="6" borderId="0" xfId="0" applyFont="1" applyFill="1" applyAlignment="1">
      <alignment horizontal="left" vertical="top" wrapText="1"/>
    </xf>
    <xf numFmtId="49" fontId="31" fillId="10" borderId="14" xfId="0" applyNumberFormat="1" applyFont="1" applyFill="1" applyBorder="1" applyAlignment="1">
      <alignment horizontal="left" vertical="top" wrapText="1"/>
    </xf>
    <xf numFmtId="0" fontId="25" fillId="6" borderId="13" xfId="0" applyFont="1" applyFill="1" applyBorder="1"/>
    <xf numFmtId="0" fontId="25" fillId="6" borderId="0" xfId="0" applyFont="1" applyFill="1"/>
    <xf numFmtId="0" fontId="25" fillId="6" borderId="14" xfId="0" applyFont="1" applyFill="1" applyBorder="1"/>
    <xf numFmtId="0" fontId="25" fillId="2" borderId="0" xfId="0" applyFont="1" applyFill="1"/>
    <xf numFmtId="0" fontId="25" fillId="2" borderId="0" xfId="0" applyFont="1" applyFill="1" applyAlignment="1">
      <alignment wrapText="1"/>
    </xf>
    <xf numFmtId="0" fontId="30" fillId="6" borderId="0" xfId="0" applyFont="1" applyFill="1"/>
    <xf numFmtId="0" fontId="25" fillId="6" borderId="0" xfId="0" applyFont="1" applyFill="1" applyAlignment="1">
      <alignment horizontal="left" vertical="center" wrapText="1"/>
    </xf>
    <xf numFmtId="0" fontId="25" fillId="6" borderId="13" xfId="0" applyFont="1" applyFill="1" applyBorder="1" applyAlignment="1">
      <alignment wrapText="1"/>
    </xf>
    <xf numFmtId="0" fontId="25" fillId="6" borderId="0" xfId="0" applyFont="1" applyFill="1" applyAlignment="1">
      <alignment wrapText="1"/>
    </xf>
    <xf numFmtId="0" fontId="25" fillId="6" borderId="14" xfId="0" applyFont="1" applyFill="1" applyBorder="1" applyAlignment="1">
      <alignment wrapText="1"/>
    </xf>
    <xf numFmtId="0" fontId="25" fillId="6" borderId="15" xfId="0" applyFont="1" applyFill="1" applyBorder="1"/>
    <xf numFmtId="0" fontId="25" fillId="6" borderId="16" xfId="0" applyFont="1" applyFill="1" applyBorder="1"/>
    <xf numFmtId="0" fontId="25" fillId="6" borderId="17" xfId="0" applyFont="1" applyFill="1" applyBorder="1"/>
    <xf numFmtId="0" fontId="32" fillId="0" borderId="0" xfId="0" applyFont="1"/>
    <xf numFmtId="0" fontId="32" fillId="9" borderId="0" xfId="0" applyFont="1" applyFill="1" applyAlignment="1">
      <alignment horizontal="left" vertical="center" wrapText="1"/>
    </xf>
    <xf numFmtId="0" fontId="32" fillId="9" borderId="31" xfId="1" applyNumberFormat="1" applyFont="1" applyFill="1" applyBorder="1" applyAlignment="1">
      <alignment horizontal="left" vertical="center" wrapText="1"/>
    </xf>
    <xf numFmtId="49" fontId="35" fillId="15" borderId="47" xfId="0" applyNumberFormat="1" applyFont="1" applyFill="1" applyBorder="1" applyAlignment="1">
      <alignment horizontal="left" vertical="center" wrapText="1"/>
    </xf>
    <xf numFmtId="0" fontId="19" fillId="6" borderId="4" xfId="0" applyFont="1" applyFill="1" applyBorder="1" applyAlignment="1">
      <alignment horizontal="left" vertical="center"/>
    </xf>
    <xf numFmtId="0" fontId="19" fillId="6" borderId="1" xfId="0" applyFont="1" applyFill="1" applyBorder="1" applyAlignment="1">
      <alignment horizontal="left" vertical="center"/>
    </xf>
    <xf numFmtId="0" fontId="19" fillId="6" borderId="5" xfId="0" applyFont="1" applyFill="1" applyBorder="1" applyAlignment="1">
      <alignment horizontal="left" vertical="center"/>
    </xf>
    <xf numFmtId="10" fontId="19" fillId="0" borderId="0" xfId="0" applyNumberFormat="1" applyFont="1" applyAlignment="1">
      <alignment horizontal="left" vertical="center"/>
    </xf>
    <xf numFmtId="0" fontId="19" fillId="0" borderId="2" xfId="0" applyFont="1" applyBorder="1" applyAlignment="1">
      <alignment horizontal="left" vertical="center"/>
    </xf>
    <xf numFmtId="0" fontId="32" fillId="0" borderId="0" xfId="0" applyFont="1" applyAlignment="1">
      <alignment horizontal="center" vertical="center"/>
    </xf>
    <xf numFmtId="0" fontId="32" fillId="13" borderId="1" xfId="0" applyFont="1" applyFill="1" applyBorder="1"/>
    <xf numFmtId="0" fontId="33" fillId="13" borderId="1" xfId="0" applyFont="1" applyFill="1" applyBorder="1"/>
    <xf numFmtId="0" fontId="33" fillId="13" borderId="0" xfId="0" applyFont="1" applyFill="1"/>
    <xf numFmtId="0" fontId="32" fillId="9" borderId="28" xfId="0" applyFont="1" applyFill="1" applyBorder="1" applyAlignment="1">
      <alignment horizontal="left" vertical="center" wrapText="1"/>
    </xf>
    <xf numFmtId="0" fontId="32" fillId="9" borderId="28" xfId="1" applyNumberFormat="1" applyFont="1" applyFill="1" applyBorder="1" applyAlignment="1">
      <alignment horizontal="left" vertical="center" wrapText="1"/>
    </xf>
    <xf numFmtId="0" fontId="32" fillId="9" borderId="34" xfId="0" applyFont="1" applyFill="1" applyBorder="1" applyAlignment="1">
      <alignment horizontal="left" vertical="center" wrapText="1"/>
    </xf>
    <xf numFmtId="0" fontId="32" fillId="9" borderId="34" xfId="1" applyNumberFormat="1" applyFont="1" applyFill="1" applyBorder="1" applyAlignment="1">
      <alignment horizontal="left" vertical="center" wrapText="1"/>
    </xf>
    <xf numFmtId="0" fontId="33" fillId="0" borderId="0" xfId="0" applyFont="1" applyAlignment="1">
      <alignment horizontal="center" vertical="center"/>
    </xf>
    <xf numFmtId="0" fontId="33" fillId="0" borderId="0" xfId="0" applyFont="1" applyAlignment="1">
      <alignment horizontal="left" vertical="center" wrapText="1"/>
    </xf>
    <xf numFmtId="0" fontId="33" fillId="0" borderId="0" xfId="0" applyFont="1" applyAlignment="1">
      <alignment vertical="center" wrapText="1"/>
    </xf>
    <xf numFmtId="10" fontId="32" fillId="0" borderId="0" xfId="1" applyNumberFormat="1" applyFont="1" applyBorder="1" applyAlignment="1">
      <alignment horizontal="center" vertical="center"/>
    </xf>
    <xf numFmtId="0" fontId="32" fillId="0" borderId="0" xfId="1" applyNumberFormat="1" applyFont="1" applyBorder="1" applyAlignment="1">
      <alignment horizontal="center" vertical="center"/>
    </xf>
    <xf numFmtId="0" fontId="32" fillId="0" borderId="0" xfId="0" applyFont="1" applyAlignment="1">
      <alignment horizontal="center" vertical="center" wrapText="1"/>
    </xf>
    <xf numFmtId="10" fontId="33" fillId="0" borderId="16" xfId="0" applyNumberFormat="1" applyFont="1" applyBorder="1" applyAlignment="1">
      <alignment horizontal="left"/>
    </xf>
    <xf numFmtId="0" fontId="33" fillId="0" borderId="16" xfId="0" applyFont="1" applyBorder="1" applyAlignment="1">
      <alignment horizontal="right"/>
    </xf>
    <xf numFmtId="0" fontId="32" fillId="0" borderId="13" xfId="0" applyFont="1" applyBorder="1"/>
    <xf numFmtId="14" fontId="34" fillId="0" borderId="0" xfId="0" applyNumberFormat="1" applyFont="1" applyAlignment="1">
      <alignment horizontal="left" vertical="top"/>
    </xf>
    <xf numFmtId="0" fontId="33" fillId="0" borderId="0" xfId="0" applyFont="1"/>
    <xf numFmtId="0" fontId="33" fillId="0" borderId="0" xfId="0" applyFont="1" applyAlignment="1">
      <alignment horizontal="left"/>
    </xf>
    <xf numFmtId="14" fontId="32" fillId="0" borderId="0" xfId="0" applyNumberFormat="1" applyFont="1"/>
    <xf numFmtId="3" fontId="32" fillId="0" borderId="0" xfId="0" applyNumberFormat="1" applyFont="1"/>
    <xf numFmtId="0" fontId="32" fillId="0" borderId="64" xfId="0" applyFont="1" applyBorder="1"/>
    <xf numFmtId="0" fontId="32" fillId="0" borderId="15" xfId="0" applyFont="1" applyBorder="1"/>
    <xf numFmtId="0" fontId="32" fillId="0" borderId="16" xfId="0" applyFont="1" applyBorder="1"/>
    <xf numFmtId="10" fontId="33" fillId="0" borderId="16" xfId="0" applyNumberFormat="1" applyFont="1" applyBorder="1" applyAlignment="1">
      <alignment horizontal="center" vertical="center"/>
    </xf>
    <xf numFmtId="0" fontId="32" fillId="0" borderId="0" xfId="0" applyFont="1" applyAlignment="1">
      <alignment vertical="center"/>
    </xf>
    <xf numFmtId="0" fontId="33" fillId="13" borderId="0" xfId="0" applyFont="1" applyFill="1" applyAlignment="1">
      <alignment vertical="center"/>
    </xf>
    <xf numFmtId="0" fontId="33" fillId="0" borderId="16" xfId="0" applyFont="1" applyBorder="1" applyAlignment="1">
      <alignment horizontal="left" vertical="center"/>
    </xf>
    <xf numFmtId="0" fontId="30" fillId="6" borderId="48" xfId="0" applyFont="1" applyFill="1" applyBorder="1" applyAlignment="1">
      <alignment horizontal="center" wrapText="1"/>
    </xf>
    <xf numFmtId="0" fontId="25" fillId="3" borderId="65" xfId="0" applyFont="1" applyFill="1" applyBorder="1" applyAlignment="1">
      <alignment horizontal="center" vertical="center" wrapText="1"/>
    </xf>
    <xf numFmtId="0" fontId="37" fillId="0" borderId="0" xfId="0" applyFont="1"/>
    <xf numFmtId="0" fontId="38" fillId="0" borderId="0" xfId="0" applyFont="1" applyAlignment="1">
      <alignment horizontal="left" vertical="center"/>
    </xf>
    <xf numFmtId="0" fontId="38" fillId="0" borderId="6" xfId="0" applyFont="1" applyBorder="1" applyAlignment="1">
      <alignment horizontal="left" vertical="center"/>
    </xf>
    <xf numFmtId="0" fontId="33" fillId="13" borderId="67" xfId="0" applyFont="1" applyFill="1" applyBorder="1" applyAlignment="1">
      <alignment horizontal="center" vertical="center"/>
    </xf>
    <xf numFmtId="0" fontId="33" fillId="13" borderId="69" xfId="0" applyFont="1" applyFill="1" applyBorder="1" applyAlignment="1">
      <alignment horizontal="center" vertical="center"/>
    </xf>
    <xf numFmtId="0" fontId="33" fillId="13" borderId="69" xfId="0" applyFont="1" applyFill="1" applyBorder="1" applyAlignment="1">
      <alignment horizontal="center" vertical="center" wrapText="1"/>
    </xf>
    <xf numFmtId="0" fontId="33" fillId="13" borderId="27" xfId="0" applyFont="1" applyFill="1" applyBorder="1" applyAlignment="1">
      <alignment horizontal="center" vertical="center"/>
    </xf>
    <xf numFmtId="0" fontId="32" fillId="9" borderId="72" xfId="0" applyFont="1" applyFill="1" applyBorder="1" applyAlignment="1">
      <alignment horizontal="left" vertical="center" wrapText="1"/>
    </xf>
    <xf numFmtId="0" fontId="32" fillId="9" borderId="72" xfId="1" applyNumberFormat="1" applyFont="1" applyFill="1" applyBorder="1" applyAlignment="1">
      <alignment horizontal="left" vertical="center" wrapText="1"/>
    </xf>
    <xf numFmtId="0" fontId="33" fillId="13" borderId="0" xfId="0" applyFont="1" applyFill="1" applyAlignment="1">
      <alignment horizontal="center" vertical="center"/>
    </xf>
    <xf numFmtId="10" fontId="32" fillId="0" borderId="16" xfId="0" applyNumberFormat="1" applyFont="1" applyBorder="1" applyAlignment="1">
      <alignment horizontal="center" vertical="center"/>
    </xf>
    <xf numFmtId="0" fontId="32" fillId="13" borderId="0" xfId="0" applyFont="1" applyFill="1" applyAlignment="1">
      <alignment horizontal="center"/>
    </xf>
    <xf numFmtId="0" fontId="18" fillId="6" borderId="41" xfId="0" applyFont="1" applyFill="1" applyBorder="1"/>
    <xf numFmtId="0" fontId="18" fillId="6" borderId="38" xfId="0" applyFont="1" applyFill="1" applyBorder="1"/>
    <xf numFmtId="0" fontId="40" fillId="0" borderId="0" xfId="0" applyFont="1" applyAlignment="1">
      <alignment vertical="center"/>
    </xf>
    <xf numFmtId="0" fontId="42" fillId="0" borderId="0" xfId="0" applyFont="1"/>
    <xf numFmtId="2" fontId="12" fillId="7" borderId="0" xfId="0" applyNumberFormat="1" applyFont="1" applyFill="1"/>
    <xf numFmtId="10" fontId="43" fillId="15" borderId="43" xfId="1" applyNumberFormat="1" applyFont="1" applyFill="1" applyBorder="1" applyAlignment="1">
      <alignment vertical="top" wrapText="1"/>
    </xf>
    <xf numFmtId="0" fontId="44" fillId="0" borderId="0" xfId="0" applyFont="1"/>
    <xf numFmtId="0" fontId="19" fillId="0" borderId="39" xfId="0" applyFont="1" applyBorder="1"/>
    <xf numFmtId="10" fontId="12" fillId="7" borderId="0" xfId="1" applyNumberFormat="1" applyFont="1" applyFill="1"/>
    <xf numFmtId="10" fontId="19" fillId="0" borderId="0" xfId="1" applyNumberFormat="1" applyFont="1" applyBorder="1"/>
    <xf numFmtId="10" fontId="19" fillId="6" borderId="1" xfId="0" applyNumberFormat="1" applyFont="1" applyFill="1" applyBorder="1" applyAlignment="1">
      <alignment vertical="center"/>
    </xf>
    <xf numFmtId="10" fontId="19" fillId="6" borderId="5" xfId="0" applyNumberFormat="1" applyFont="1" applyFill="1" applyBorder="1" applyAlignment="1">
      <alignment vertical="center"/>
    </xf>
    <xf numFmtId="10" fontId="19" fillId="0" borderId="0" xfId="0" applyNumberFormat="1" applyFont="1"/>
    <xf numFmtId="49" fontId="12" fillId="0" borderId="58" xfId="0" applyNumberFormat="1" applyFont="1" applyBorder="1" applyAlignment="1">
      <alignment vertical="center" wrapText="1"/>
    </xf>
    <xf numFmtId="49" fontId="20" fillId="15" borderId="47" xfId="0" applyNumberFormat="1" applyFont="1" applyFill="1" applyBorder="1" applyAlignment="1">
      <alignment horizontal="right" vertical="center"/>
    </xf>
    <xf numFmtId="49" fontId="10" fillId="15" borderId="47" xfId="0" applyNumberFormat="1" applyFont="1" applyFill="1" applyBorder="1" applyAlignment="1">
      <alignment vertical="center" wrapText="1"/>
    </xf>
    <xf numFmtId="49" fontId="19" fillId="0" borderId="88" xfId="0" applyNumberFormat="1" applyFont="1" applyBorder="1" applyAlignment="1">
      <alignment horizontal="left" vertical="center" wrapText="1"/>
    </xf>
    <xf numFmtId="0" fontId="14" fillId="6" borderId="89" xfId="0" applyFont="1" applyFill="1" applyBorder="1" applyAlignment="1">
      <alignment vertical="center"/>
    </xf>
    <xf numFmtId="0" fontId="14" fillId="6" borderId="90" xfId="0" applyFont="1" applyFill="1" applyBorder="1" applyAlignment="1">
      <alignment horizontal="left" vertical="center" wrapText="1"/>
    </xf>
    <xf numFmtId="0" fontId="14" fillId="6" borderId="91" xfId="0" applyFont="1" applyFill="1" applyBorder="1" applyAlignment="1">
      <alignment vertical="center"/>
    </xf>
    <xf numFmtId="0" fontId="12" fillId="6" borderId="92" xfId="0" applyFont="1" applyFill="1" applyBorder="1" applyAlignment="1">
      <alignment vertical="center"/>
    </xf>
    <xf numFmtId="0" fontId="14" fillId="6" borderId="93" xfId="0" applyFont="1" applyFill="1" applyBorder="1" applyAlignment="1">
      <alignment vertical="center"/>
    </xf>
    <xf numFmtId="0" fontId="14" fillId="6" borderId="90" xfId="0" applyFont="1" applyFill="1" applyBorder="1" applyAlignment="1">
      <alignment vertical="center"/>
    </xf>
    <xf numFmtId="49" fontId="16" fillId="4" borderId="90" xfId="0" applyNumberFormat="1" applyFont="1" applyFill="1" applyBorder="1" applyAlignment="1">
      <alignment horizontal="left" vertical="center"/>
    </xf>
    <xf numFmtId="0" fontId="14" fillId="6" borderId="98" xfId="0" applyFont="1" applyFill="1" applyBorder="1" applyAlignment="1">
      <alignment vertical="center"/>
    </xf>
    <xf numFmtId="0" fontId="14" fillId="6" borderId="101" xfId="0" applyFont="1" applyFill="1" applyBorder="1" applyAlignment="1">
      <alignment vertical="center"/>
    </xf>
    <xf numFmtId="0" fontId="14" fillId="6" borderId="99" xfId="0" applyFont="1" applyFill="1" applyBorder="1" applyAlignment="1">
      <alignment horizontal="left" vertical="center"/>
    </xf>
    <xf numFmtId="0" fontId="12" fillId="6" borderId="92" xfId="0" applyFont="1" applyFill="1" applyBorder="1" applyAlignment="1">
      <alignment vertical="center" wrapText="1"/>
    </xf>
    <xf numFmtId="49" fontId="16" fillId="4" borderId="102" xfId="0" applyNumberFormat="1" applyFont="1" applyFill="1" applyBorder="1" applyAlignment="1">
      <alignment horizontal="left" vertical="center"/>
    </xf>
    <xf numFmtId="0" fontId="14" fillId="6" borderId="99" xfId="0" applyFont="1" applyFill="1" applyBorder="1" applyAlignment="1">
      <alignment horizontal="left" vertical="center" wrapText="1"/>
    </xf>
    <xf numFmtId="0" fontId="14" fillId="6" borderId="99" xfId="0" applyFont="1" applyFill="1" applyBorder="1" applyAlignment="1">
      <alignment vertical="center"/>
    </xf>
    <xf numFmtId="49" fontId="16" fillId="4" borderId="102" xfId="0" applyNumberFormat="1" applyFont="1" applyFill="1" applyBorder="1" applyAlignment="1">
      <alignment horizontal="left" vertical="center" wrapText="1"/>
    </xf>
    <xf numFmtId="0" fontId="12" fillId="6" borderId="92" xfId="0" applyFont="1" applyFill="1" applyBorder="1" applyAlignment="1">
      <alignment vertical="top" wrapText="1"/>
    </xf>
    <xf numFmtId="49" fontId="12" fillId="0" borderId="60" xfId="0" applyNumberFormat="1" applyFont="1" applyBorder="1" applyAlignment="1">
      <alignment vertical="top" wrapText="1"/>
    </xf>
    <xf numFmtId="165" fontId="19" fillId="0" borderId="58" xfId="0" applyNumberFormat="1" applyFont="1" applyBorder="1" applyAlignment="1">
      <alignment vertical="top" wrapText="1"/>
    </xf>
    <xf numFmtId="0" fontId="50" fillId="12" borderId="54" xfId="0" applyFont="1" applyFill="1" applyBorder="1" applyAlignment="1">
      <alignment horizontal="center" vertical="center" wrapText="1"/>
    </xf>
    <xf numFmtId="49" fontId="14" fillId="4" borderId="90" xfId="0" applyNumberFormat="1" applyFont="1" applyFill="1" applyBorder="1" applyAlignment="1">
      <alignment vertical="top" wrapText="1"/>
    </xf>
    <xf numFmtId="0" fontId="14" fillId="6" borderId="92" xfId="0" applyFont="1" applyFill="1" applyBorder="1" applyAlignment="1">
      <alignment vertical="center"/>
    </xf>
    <xf numFmtId="49" fontId="12" fillId="0" borderId="57" xfId="0" applyNumberFormat="1" applyFont="1" applyBorder="1" applyAlignment="1">
      <alignment vertical="center" wrapText="1"/>
    </xf>
    <xf numFmtId="49" fontId="14" fillId="4" borderId="90" xfId="0" applyNumberFormat="1" applyFont="1" applyFill="1" applyBorder="1" applyAlignment="1">
      <alignment vertical="center" wrapText="1"/>
    </xf>
    <xf numFmtId="0" fontId="33" fillId="0" borderId="34" xfId="0" applyFont="1" applyBorder="1" applyAlignment="1">
      <alignment horizontal="left" vertical="center" wrapText="1"/>
    </xf>
    <xf numFmtId="0" fontId="33" fillId="0" borderId="30" xfId="0" applyFont="1" applyBorder="1" applyAlignment="1">
      <alignment horizontal="left" vertical="center" wrapText="1"/>
    </xf>
    <xf numFmtId="0" fontId="32" fillId="0" borderId="31" xfId="0" applyFont="1" applyBorder="1" applyAlignment="1">
      <alignment horizontal="left" vertical="center" wrapText="1"/>
    </xf>
    <xf numFmtId="0" fontId="32" fillId="0" borderId="36" xfId="0" applyFont="1" applyBorder="1" applyAlignment="1">
      <alignment horizontal="left" vertical="center" wrapText="1"/>
    </xf>
    <xf numFmtId="0" fontId="32" fillId="0" borderId="28" xfId="0" applyFont="1" applyBorder="1" applyAlignment="1">
      <alignment horizontal="left" vertical="center" wrapText="1"/>
    </xf>
    <xf numFmtId="0" fontId="33" fillId="0" borderId="73" xfId="1" applyNumberFormat="1" applyFont="1" applyBorder="1" applyAlignment="1">
      <alignment horizontal="left" vertical="center"/>
    </xf>
    <xf numFmtId="0" fontId="32" fillId="5" borderId="74" xfId="1" applyNumberFormat="1" applyFont="1" applyFill="1" applyBorder="1" applyAlignment="1">
      <alignment horizontal="left" vertical="center"/>
    </xf>
    <xf numFmtId="0" fontId="33" fillId="9" borderId="32" xfId="0" applyFont="1" applyFill="1" applyBorder="1" applyAlignment="1">
      <alignment horizontal="left" vertical="center"/>
    </xf>
    <xf numFmtId="4" fontId="33" fillId="9" borderId="30" xfId="0" applyNumberFormat="1" applyFont="1" applyFill="1" applyBorder="1" applyAlignment="1">
      <alignment horizontal="left" vertical="center"/>
    </xf>
    <xf numFmtId="0" fontId="32" fillId="3" borderId="65" xfId="1" applyNumberFormat="1" applyFont="1" applyFill="1" applyBorder="1" applyAlignment="1">
      <alignment horizontal="left" vertical="center"/>
    </xf>
    <xf numFmtId="0" fontId="32" fillId="5" borderId="30" xfId="1" applyNumberFormat="1" applyFont="1" applyFill="1" applyBorder="1" applyAlignment="1">
      <alignment horizontal="left" vertical="center"/>
    </xf>
    <xf numFmtId="0" fontId="33" fillId="0" borderId="77" xfId="1" applyNumberFormat="1" applyFont="1" applyBorder="1" applyAlignment="1">
      <alignment horizontal="left" vertical="center"/>
    </xf>
    <xf numFmtId="0" fontId="33" fillId="0" borderId="36" xfId="1" applyNumberFormat="1" applyFont="1" applyBorder="1" applyAlignment="1">
      <alignment horizontal="left" vertical="center"/>
    </xf>
    <xf numFmtId="0" fontId="32" fillId="5" borderId="36" xfId="1" applyNumberFormat="1" applyFont="1" applyFill="1" applyBorder="1" applyAlignment="1">
      <alignment horizontal="left" vertical="center"/>
    </xf>
    <xf numFmtId="10" fontId="32" fillId="0" borderId="79" xfId="1" applyNumberFormat="1" applyFont="1" applyBorder="1" applyAlignment="1">
      <alignment horizontal="left" vertical="center"/>
    </xf>
    <xf numFmtId="0" fontId="32" fillId="5" borderId="32" xfId="1" applyNumberFormat="1" applyFont="1" applyFill="1" applyBorder="1" applyAlignment="1">
      <alignment horizontal="left" vertical="center"/>
    </xf>
    <xf numFmtId="0" fontId="33" fillId="0" borderId="34" xfId="1" applyNumberFormat="1" applyFont="1" applyBorder="1" applyAlignment="1">
      <alignment horizontal="left" vertical="center" wrapText="1"/>
    </xf>
    <xf numFmtId="0" fontId="32" fillId="5" borderId="34" xfId="1" applyNumberFormat="1" applyFont="1" applyFill="1" applyBorder="1" applyAlignment="1">
      <alignment horizontal="left" vertical="center" wrapText="1"/>
    </xf>
    <xf numFmtId="0" fontId="32" fillId="3" borderId="65" xfId="1" applyNumberFormat="1" applyFont="1" applyFill="1" applyBorder="1" applyAlignment="1">
      <alignment horizontal="left" vertical="center" wrapText="1"/>
    </xf>
    <xf numFmtId="0" fontId="32" fillId="5" borderId="30" xfId="1" applyNumberFormat="1" applyFont="1" applyFill="1" applyBorder="1" applyAlignment="1">
      <alignment horizontal="left" vertical="center" wrapText="1"/>
    </xf>
    <xf numFmtId="0" fontId="33" fillId="9" borderId="30" xfId="0" applyFont="1" applyFill="1" applyBorder="1" applyAlignment="1">
      <alignment horizontal="left" vertical="center"/>
    </xf>
    <xf numFmtId="0" fontId="33" fillId="0" borderId="34" xfId="1" applyNumberFormat="1" applyFont="1" applyBorder="1" applyAlignment="1">
      <alignment horizontal="left" vertical="center"/>
    </xf>
    <xf numFmtId="0" fontId="33" fillId="0" borderId="28" xfId="1" applyNumberFormat="1" applyFont="1" applyBorder="1" applyAlignment="1">
      <alignment horizontal="left" vertical="center"/>
    </xf>
    <xf numFmtId="0" fontId="33" fillId="0" borderId="80" xfId="1" applyNumberFormat="1" applyFont="1" applyBorder="1" applyAlignment="1">
      <alignment horizontal="left" vertical="center"/>
    </xf>
    <xf numFmtId="0" fontId="33" fillId="0" borderId="36" xfId="1" applyNumberFormat="1" applyFont="1" applyBorder="1" applyAlignment="1">
      <alignment horizontal="left" vertical="center" wrapText="1"/>
    </xf>
    <xf numFmtId="0" fontId="32" fillId="5" borderId="34" xfId="1" applyNumberFormat="1" applyFont="1" applyFill="1" applyBorder="1" applyAlignment="1">
      <alignment horizontal="left" vertical="center"/>
    </xf>
    <xf numFmtId="0" fontId="33" fillId="9" borderId="0" xfId="0" applyFont="1" applyFill="1" applyAlignment="1">
      <alignment horizontal="left" vertical="center"/>
    </xf>
    <xf numFmtId="0" fontId="33" fillId="9" borderId="36" xfId="0" applyFont="1" applyFill="1" applyBorder="1" applyAlignment="1">
      <alignment horizontal="left" vertical="center"/>
    </xf>
    <xf numFmtId="0" fontId="32" fillId="0" borderId="27" xfId="0" applyFont="1" applyBorder="1" applyAlignment="1">
      <alignment horizontal="left" vertical="center"/>
    </xf>
    <xf numFmtId="0" fontId="34" fillId="0" borderId="31" xfId="0" applyFont="1" applyBorder="1" applyAlignment="1">
      <alignment horizontal="left" vertical="center" wrapText="1"/>
    </xf>
    <xf numFmtId="0" fontId="33" fillId="0" borderId="31" xfId="1" applyNumberFormat="1" applyFont="1" applyBorder="1" applyAlignment="1">
      <alignment horizontal="left" vertical="center" wrapText="1"/>
    </xf>
    <xf numFmtId="0" fontId="32" fillId="5" borderId="31" xfId="1" applyNumberFormat="1" applyFont="1" applyFill="1" applyBorder="1" applyAlignment="1">
      <alignment horizontal="left" vertical="center"/>
    </xf>
    <xf numFmtId="0" fontId="31" fillId="0" borderId="35" xfId="0" applyFont="1" applyBorder="1" applyAlignment="1">
      <alignment horizontal="left" vertical="center"/>
    </xf>
    <xf numFmtId="0" fontId="31" fillId="0" borderId="32" xfId="0" applyFont="1" applyBorder="1" applyAlignment="1">
      <alignment horizontal="left" vertical="center" wrapText="1"/>
    </xf>
    <xf numFmtId="0" fontId="32" fillId="0" borderId="0" xfId="0" applyFont="1" applyAlignment="1">
      <alignment horizontal="left" vertical="center" wrapText="1"/>
    </xf>
    <xf numFmtId="10" fontId="32" fillId="0" borderId="79" xfId="1" applyNumberFormat="1" applyFont="1" applyBorder="1" applyAlignment="1">
      <alignment horizontal="left" vertical="center" wrapText="1"/>
    </xf>
    <xf numFmtId="0" fontId="33" fillId="0" borderId="36" xfId="0" applyFont="1" applyBorder="1" applyAlignment="1">
      <alignment horizontal="left" vertical="center" wrapText="1"/>
    </xf>
    <xf numFmtId="0" fontId="33" fillId="0" borderId="77" xfId="1" applyNumberFormat="1" applyFont="1" applyBorder="1" applyAlignment="1">
      <alignment horizontal="left" vertical="center" wrapText="1"/>
    </xf>
    <xf numFmtId="0" fontId="32" fillId="5" borderId="28" xfId="1" applyNumberFormat="1" applyFont="1" applyFill="1" applyBorder="1" applyAlignment="1">
      <alignment horizontal="left" vertical="center"/>
    </xf>
    <xf numFmtId="0" fontId="33" fillId="0" borderId="32" xfId="0" applyFont="1" applyBorder="1" applyAlignment="1">
      <alignment horizontal="left" vertical="center"/>
    </xf>
    <xf numFmtId="0" fontId="33" fillId="0" borderId="30" xfId="0" applyFont="1" applyBorder="1" applyAlignment="1">
      <alignment horizontal="left" vertical="center"/>
    </xf>
    <xf numFmtId="0" fontId="32" fillId="0" borderId="34" xfId="0" applyFont="1" applyBorder="1" applyAlignment="1">
      <alignment horizontal="left" vertical="center" wrapText="1"/>
    </xf>
    <xf numFmtId="3" fontId="33" fillId="0" borderId="36" xfId="0" applyNumberFormat="1" applyFont="1" applyBorder="1" applyAlignment="1">
      <alignment horizontal="left" vertical="center"/>
    </xf>
    <xf numFmtId="0" fontId="32" fillId="0" borderId="31" xfId="0" applyFont="1" applyBorder="1" applyAlignment="1">
      <alignment horizontal="left" vertical="center"/>
    </xf>
    <xf numFmtId="0" fontId="33" fillId="0" borderId="36" xfId="0" applyFont="1" applyBorder="1" applyAlignment="1">
      <alignment horizontal="left" vertical="center"/>
    </xf>
    <xf numFmtId="0" fontId="33" fillId="0" borderId="32" xfId="0" applyFont="1" applyBorder="1" applyAlignment="1">
      <alignment horizontal="left" vertical="center" wrapText="1"/>
    </xf>
    <xf numFmtId="10" fontId="33" fillId="0" borderId="81" xfId="1" applyNumberFormat="1" applyFont="1" applyBorder="1" applyAlignment="1">
      <alignment horizontal="left" vertical="center" wrapText="1"/>
    </xf>
    <xf numFmtId="0" fontId="32" fillId="0" borderId="82" xfId="1" applyNumberFormat="1" applyFont="1" applyBorder="1" applyAlignment="1">
      <alignment horizontal="left" vertical="center"/>
    </xf>
    <xf numFmtId="0" fontId="33" fillId="9" borderId="36" xfId="1" applyNumberFormat="1" applyFont="1" applyFill="1" applyBorder="1" applyAlignment="1">
      <alignment horizontal="left" vertical="center" wrapText="1"/>
    </xf>
    <xf numFmtId="3" fontId="32" fillId="3" borderId="65" xfId="1" applyNumberFormat="1" applyFont="1" applyFill="1" applyBorder="1" applyAlignment="1">
      <alignment horizontal="left" vertical="center"/>
    </xf>
    <xf numFmtId="0" fontId="33" fillId="0" borderId="86" xfId="0" applyFont="1" applyBorder="1" applyAlignment="1">
      <alignment horizontal="left" vertical="center" wrapText="1"/>
    </xf>
    <xf numFmtId="0" fontId="32" fillId="5" borderId="85" xfId="1" applyNumberFormat="1" applyFont="1" applyFill="1" applyBorder="1" applyAlignment="1">
      <alignment horizontal="left" vertical="center"/>
    </xf>
    <xf numFmtId="0" fontId="33" fillId="0" borderId="87" xfId="1" applyNumberFormat="1" applyFont="1" applyBorder="1" applyAlignment="1">
      <alignment horizontal="left" vertical="center"/>
    </xf>
    <xf numFmtId="0" fontId="19" fillId="6" borderId="44" xfId="0" applyFont="1" applyFill="1" applyBorder="1" applyAlignment="1">
      <alignment horizontal="left" vertical="center"/>
    </xf>
    <xf numFmtId="0" fontId="47" fillId="0" borderId="0" xfId="0" applyFont="1" applyAlignment="1">
      <alignment horizontal="left" vertical="center"/>
    </xf>
    <xf numFmtId="0" fontId="47" fillId="6" borderId="45" xfId="0" applyFont="1" applyFill="1" applyBorder="1" applyAlignment="1">
      <alignment horizontal="left" vertical="center"/>
    </xf>
    <xf numFmtId="0" fontId="16" fillId="0" borderId="0" xfId="0" applyFont="1" applyAlignment="1">
      <alignment horizontal="left" vertical="center" wrapText="1"/>
    </xf>
    <xf numFmtId="0" fontId="47" fillId="6" borderId="44" xfId="0" applyFont="1" applyFill="1" applyBorder="1" applyAlignment="1">
      <alignment horizontal="left" vertical="center" wrapText="1"/>
    </xf>
    <xf numFmtId="10" fontId="12" fillId="7" borderId="0" xfId="0" applyNumberFormat="1" applyFont="1" applyFill="1"/>
    <xf numFmtId="0" fontId="14" fillId="0" borderId="0" xfId="0" applyFont="1" applyAlignment="1">
      <alignment horizontal="right" vertical="center"/>
    </xf>
    <xf numFmtId="0" fontId="12" fillId="7" borderId="6" xfId="1" applyNumberFormat="1" applyFont="1" applyFill="1" applyBorder="1"/>
    <xf numFmtId="0" fontId="41" fillId="7" borderId="0" xfId="0" applyFont="1" applyFill="1"/>
    <xf numFmtId="0" fontId="52" fillId="0" borderId="0" xfId="0" applyFont="1" applyAlignment="1">
      <alignment horizontal="right"/>
    </xf>
    <xf numFmtId="10" fontId="52" fillId="7" borderId="0" xfId="1" applyNumberFormat="1" applyFont="1" applyFill="1" applyBorder="1"/>
    <xf numFmtId="0" fontId="52" fillId="7" borderId="0" xfId="0" applyFont="1" applyFill="1"/>
    <xf numFmtId="10" fontId="12" fillId="6" borderId="4" xfId="0" applyNumberFormat="1" applyFont="1" applyFill="1" applyBorder="1" applyAlignment="1">
      <alignment vertical="center"/>
    </xf>
    <xf numFmtId="10" fontId="53" fillId="7" borderId="0" xfId="1" applyNumberFormat="1" applyFont="1" applyFill="1" applyBorder="1"/>
    <xf numFmtId="2" fontId="12" fillId="7" borderId="0" xfId="1" applyNumberFormat="1" applyFont="1" applyFill="1" applyBorder="1"/>
    <xf numFmtId="2" fontId="12" fillId="7" borderId="0" xfId="0" applyNumberFormat="1" applyFont="1" applyFill="1" applyAlignment="1">
      <alignment wrapText="1"/>
    </xf>
    <xf numFmtId="2" fontId="52" fillId="7" borderId="0" xfId="0" applyNumberFormat="1" applyFont="1" applyFill="1"/>
    <xf numFmtId="10" fontId="12" fillId="0" borderId="106" xfId="0" applyNumberFormat="1" applyFont="1" applyBorder="1"/>
    <xf numFmtId="164" fontId="47" fillId="6" borderId="4" xfId="0" applyNumberFormat="1" applyFont="1" applyFill="1" applyBorder="1" applyAlignment="1">
      <alignment horizontal="left" vertical="center"/>
    </xf>
    <xf numFmtId="164" fontId="47" fillId="6" borderId="1" xfId="0" applyNumberFormat="1" applyFont="1" applyFill="1" applyBorder="1" applyAlignment="1">
      <alignment horizontal="left" vertical="center"/>
    </xf>
    <xf numFmtId="0" fontId="47" fillId="0" borderId="39" xfId="0" applyFont="1" applyBorder="1" applyAlignment="1">
      <alignment vertical="top" wrapText="1"/>
    </xf>
    <xf numFmtId="164" fontId="47" fillId="6" borderId="5" xfId="0" applyNumberFormat="1" applyFont="1" applyFill="1" applyBorder="1" applyAlignment="1">
      <alignment horizontal="left" vertical="center"/>
    </xf>
    <xf numFmtId="49" fontId="12" fillId="0" borderId="107" xfId="0" applyNumberFormat="1" applyFont="1" applyBorder="1" applyAlignment="1">
      <alignment vertical="top" wrapText="1"/>
    </xf>
    <xf numFmtId="164" fontId="47" fillId="0" borderId="108" xfId="0" applyNumberFormat="1" applyFont="1" applyBorder="1" applyAlignment="1">
      <alignment horizontal="left" vertical="center"/>
    </xf>
    <xf numFmtId="164" fontId="47" fillId="0" borderId="109" xfId="0" applyNumberFormat="1" applyFont="1" applyBorder="1" applyAlignment="1">
      <alignment horizontal="left" vertical="center"/>
    </xf>
    <xf numFmtId="164" fontId="47" fillId="0" borderId="110" xfId="0" applyNumberFormat="1" applyFont="1" applyBorder="1" applyAlignment="1">
      <alignment horizontal="left" vertical="center"/>
    </xf>
    <xf numFmtId="49" fontId="12" fillId="0" borderId="107" xfId="0" applyNumberFormat="1" applyFont="1" applyBorder="1" applyAlignment="1">
      <alignment vertical="center" wrapText="1"/>
    </xf>
    <xf numFmtId="49" fontId="12" fillId="0" borderId="111" xfId="0" applyNumberFormat="1" applyFont="1" applyBorder="1" applyAlignment="1">
      <alignment vertical="center" wrapText="1"/>
    </xf>
    <xf numFmtId="0" fontId="12" fillId="0" borderId="108" xfId="0" applyFont="1" applyBorder="1" applyAlignment="1">
      <alignment horizontal="left" vertical="center" wrapText="1"/>
    </xf>
    <xf numFmtId="10" fontId="12" fillId="0" borderId="21" xfId="1" applyNumberFormat="1" applyFont="1" applyFill="1" applyBorder="1" applyAlignment="1">
      <alignment vertical="center"/>
    </xf>
    <xf numFmtId="2" fontId="32" fillId="0" borderId="79" xfId="1" applyNumberFormat="1" applyFont="1" applyBorder="1" applyAlignment="1">
      <alignment horizontal="left" vertical="center"/>
    </xf>
    <xf numFmtId="10" fontId="33" fillId="0" borderId="63" xfId="0" applyNumberFormat="1" applyFont="1" applyBorder="1" applyAlignment="1">
      <alignment horizontal="left" vertical="center"/>
    </xf>
    <xf numFmtId="0" fontId="33" fillId="0" borderId="62" xfId="0" applyFont="1" applyBorder="1" applyAlignment="1">
      <alignment horizontal="right" vertical="center"/>
    </xf>
    <xf numFmtId="0" fontId="33" fillId="0" borderId="105" xfId="0" applyFont="1" applyBorder="1" applyAlignment="1">
      <alignment horizontal="left" vertical="center" wrapText="1"/>
    </xf>
    <xf numFmtId="0" fontId="54" fillId="7" borderId="0" xfId="0" applyFont="1" applyFill="1"/>
    <xf numFmtId="10" fontId="54" fillId="7" borderId="0" xfId="0" applyNumberFormat="1" applyFont="1" applyFill="1"/>
    <xf numFmtId="10" fontId="19" fillId="7" borderId="0" xfId="1" applyNumberFormat="1" applyFont="1" applyFill="1"/>
    <xf numFmtId="0" fontId="19" fillId="7" borderId="0" xfId="0" applyFont="1" applyFill="1"/>
    <xf numFmtId="0" fontId="33" fillId="13" borderId="28" xfId="0" applyFont="1" applyFill="1" applyBorder="1" applyAlignment="1">
      <alignment horizontal="center" vertical="center" wrapText="1"/>
    </xf>
    <xf numFmtId="0" fontId="33" fillId="13" borderId="0" xfId="0" applyFont="1" applyFill="1" applyAlignment="1">
      <alignment horizontal="center" vertical="center" wrapText="1"/>
    </xf>
    <xf numFmtId="10" fontId="55" fillId="0" borderId="82" xfId="1" applyNumberFormat="1" applyFont="1" applyBorder="1" applyAlignment="1">
      <alignment horizontal="left" vertical="center"/>
    </xf>
    <xf numFmtId="0" fontId="55" fillId="0" borderId="77" xfId="1" applyNumberFormat="1" applyFont="1" applyBorder="1" applyAlignment="1">
      <alignment horizontal="left" vertical="center"/>
    </xf>
    <xf numFmtId="10" fontId="55" fillId="0" borderId="79" xfId="1" applyNumberFormat="1" applyFont="1" applyBorder="1" applyAlignment="1">
      <alignment horizontal="left" vertical="center"/>
    </xf>
    <xf numFmtId="0" fontId="55" fillId="0" borderId="80" xfId="1" applyNumberFormat="1" applyFont="1" applyBorder="1" applyAlignment="1">
      <alignment horizontal="left" vertical="center"/>
    </xf>
    <xf numFmtId="10" fontId="55" fillId="0" borderId="79" xfId="1" applyNumberFormat="1" applyFont="1" applyBorder="1" applyAlignment="1">
      <alignment horizontal="left" vertical="center" wrapText="1"/>
    </xf>
    <xf numFmtId="0" fontId="55" fillId="0" borderId="77" xfId="1" applyNumberFormat="1" applyFont="1" applyBorder="1" applyAlignment="1">
      <alignment horizontal="left" vertical="center" wrapText="1"/>
    </xf>
    <xf numFmtId="10" fontId="55" fillId="0" borderId="81" xfId="1" applyNumberFormat="1" applyFont="1" applyBorder="1" applyAlignment="1">
      <alignment horizontal="left" vertical="center" wrapText="1"/>
    </xf>
    <xf numFmtId="0" fontId="55" fillId="0" borderId="82" xfId="1" applyNumberFormat="1" applyFont="1" applyBorder="1" applyAlignment="1">
      <alignment horizontal="left" vertical="center"/>
    </xf>
    <xf numFmtId="0" fontId="55" fillId="0" borderId="87" xfId="1" applyNumberFormat="1" applyFont="1" applyBorder="1" applyAlignment="1">
      <alignment horizontal="left" vertical="center"/>
    </xf>
    <xf numFmtId="0" fontId="39" fillId="0" borderId="0" xfId="0" applyFont="1" applyAlignment="1">
      <alignment horizontal="center" vertical="center"/>
    </xf>
    <xf numFmtId="0" fontId="55" fillId="0" borderId="75" xfId="1" applyNumberFormat="1" applyFont="1" applyBorder="1" applyAlignment="1">
      <alignment horizontal="left" vertical="center"/>
    </xf>
    <xf numFmtId="0" fontId="55" fillId="0" borderId="79" xfId="1" applyNumberFormat="1" applyFont="1" applyBorder="1" applyAlignment="1">
      <alignment horizontal="left" vertical="center"/>
    </xf>
    <xf numFmtId="2" fontId="55" fillId="0" borderId="82" xfId="1" applyNumberFormat="1" applyFont="1" applyBorder="1" applyAlignment="1">
      <alignment horizontal="left" vertical="center"/>
    </xf>
    <xf numFmtId="0" fontId="57" fillId="0" borderId="14" xfId="0" applyFont="1" applyBorder="1"/>
    <xf numFmtId="0" fontId="57" fillId="0" borderId="17" xfId="0" applyFont="1" applyBorder="1"/>
    <xf numFmtId="0" fontId="57" fillId="0" borderId="0" xfId="0" applyFont="1"/>
    <xf numFmtId="0" fontId="32" fillId="16" borderId="0" xfId="0" applyFont="1" applyFill="1"/>
    <xf numFmtId="0" fontId="12" fillId="0" borderId="92" xfId="0" applyFont="1" applyBorder="1" applyAlignment="1">
      <alignment vertical="center" wrapText="1"/>
    </xf>
    <xf numFmtId="0" fontId="16" fillId="6" borderId="0" xfId="0" applyFont="1" applyFill="1" applyAlignment="1">
      <alignment horizontal="left" vertical="center" wrapText="1"/>
    </xf>
    <xf numFmtId="10" fontId="12" fillId="0" borderId="20" xfId="1" applyNumberFormat="1" applyFont="1" applyBorder="1" applyAlignment="1">
      <alignment vertical="center"/>
    </xf>
    <xf numFmtId="0" fontId="14" fillId="6" borderId="50" xfId="0" applyFont="1" applyFill="1" applyBorder="1" applyAlignment="1">
      <alignment vertical="center"/>
    </xf>
    <xf numFmtId="0" fontId="12" fillId="6" borderId="2" xfId="0" applyFont="1" applyFill="1" applyBorder="1"/>
    <xf numFmtId="10" fontId="12" fillId="6" borderId="21" xfId="1" applyNumberFormat="1" applyFont="1" applyFill="1" applyBorder="1" applyAlignment="1">
      <alignment vertical="center"/>
    </xf>
    <xf numFmtId="0" fontId="12" fillId="6" borderId="113" xfId="0" applyFont="1" applyFill="1" applyBorder="1"/>
    <xf numFmtId="0" fontId="12" fillId="6" borderId="114" xfId="0" applyFont="1" applyFill="1" applyBorder="1"/>
    <xf numFmtId="0" fontId="12" fillId="6" borderId="115" xfId="0" applyFont="1" applyFill="1" applyBorder="1"/>
    <xf numFmtId="0" fontId="19" fillId="6" borderId="116" xfId="0" applyFont="1" applyFill="1" applyBorder="1" applyAlignment="1">
      <alignment horizontal="left" vertical="center"/>
    </xf>
    <xf numFmtId="0" fontId="19" fillId="6" borderId="112" xfId="2" applyNumberFormat="1" applyFont="1" applyFill="1" applyBorder="1" applyAlignment="1">
      <alignment horizontal="left" vertical="center" wrapText="1"/>
    </xf>
    <xf numFmtId="0" fontId="19" fillId="6" borderId="1" xfId="2" applyNumberFormat="1" applyFont="1" applyFill="1" applyBorder="1" applyAlignment="1">
      <alignment horizontal="left" vertical="center"/>
    </xf>
    <xf numFmtId="0" fontId="19" fillId="6" borderId="117" xfId="2" applyNumberFormat="1" applyFont="1" applyFill="1" applyBorder="1" applyAlignment="1">
      <alignment horizontal="left" vertical="center"/>
    </xf>
    <xf numFmtId="0" fontId="12" fillId="6" borderId="41" xfId="0" applyFont="1" applyFill="1" applyBorder="1" applyAlignment="1">
      <alignment wrapText="1"/>
    </xf>
    <xf numFmtId="0" fontId="12" fillId="6" borderId="92" xfId="0" applyFont="1" applyFill="1" applyBorder="1"/>
    <xf numFmtId="0" fontId="12" fillId="6" borderId="118" xfId="0" applyFont="1" applyFill="1" applyBorder="1" applyAlignment="1">
      <alignment horizontal="left" vertical="center"/>
    </xf>
    <xf numFmtId="0" fontId="42" fillId="0" borderId="0" xfId="0" applyFont="1" applyAlignment="1">
      <alignment horizontal="left" vertical="center" wrapText="1"/>
    </xf>
    <xf numFmtId="10" fontId="42" fillId="0" borderId="0" xfId="0" applyNumberFormat="1" applyFont="1"/>
    <xf numFmtId="0" fontId="47" fillId="0" borderId="38" xfId="0" applyFont="1" applyBorder="1"/>
    <xf numFmtId="10" fontId="12" fillId="6" borderId="112" xfId="1" applyNumberFormat="1" applyFont="1" applyFill="1" applyBorder="1"/>
    <xf numFmtId="10" fontId="12" fillId="6" borderId="117" xfId="1" applyNumberFormat="1" applyFont="1" applyFill="1" applyBorder="1"/>
    <xf numFmtId="10" fontId="12" fillId="0" borderId="37" xfId="1" applyNumberFormat="1" applyFont="1" applyBorder="1" applyAlignment="1">
      <alignment vertical="center"/>
    </xf>
    <xf numFmtId="0" fontId="33" fillId="0" borderId="50" xfId="1" applyNumberFormat="1" applyFont="1" applyFill="1" applyBorder="1" applyAlignment="1">
      <alignment vertical="center"/>
    </xf>
    <xf numFmtId="0" fontId="36" fillId="0" borderId="119" xfId="3" applyNumberFormat="1" applyFont="1" applyFill="1" applyBorder="1" applyAlignment="1">
      <alignment vertical="center" wrapText="1"/>
    </xf>
    <xf numFmtId="0" fontId="32" fillId="0" borderId="0" xfId="0" applyFont="1" applyAlignment="1">
      <alignment wrapText="1"/>
    </xf>
    <xf numFmtId="0" fontId="64" fillId="0" borderId="14" xfId="0" applyFont="1" applyBorder="1"/>
    <xf numFmtId="0" fontId="13" fillId="12" borderId="50" xfId="0" applyFont="1" applyFill="1" applyBorder="1" applyAlignment="1">
      <alignment horizontal="center" vertical="center" wrapText="1"/>
    </xf>
    <xf numFmtId="0" fontId="7" fillId="13" borderId="65" xfId="0" applyFont="1" applyFill="1" applyBorder="1" applyAlignment="1">
      <alignment horizontal="left" vertical="top" wrapText="1"/>
    </xf>
    <xf numFmtId="0" fontId="24" fillId="0" borderId="0" xfId="0" applyFont="1" applyAlignment="1">
      <alignment horizontal="left" vertical="top" wrapText="1"/>
    </xf>
    <xf numFmtId="0" fontId="25" fillId="0" borderId="0" xfId="0" applyFont="1" applyAlignment="1">
      <alignment vertical="top" wrapText="1"/>
    </xf>
    <xf numFmtId="0" fontId="25" fillId="0" borderId="0" xfId="0" applyFont="1"/>
    <xf numFmtId="0" fontId="25" fillId="0" borderId="0" xfId="0" applyFont="1" applyAlignment="1">
      <alignment wrapText="1"/>
    </xf>
    <xf numFmtId="49" fontId="14" fillId="0" borderId="24" xfId="0" applyNumberFormat="1" applyFont="1" applyBorder="1" applyAlignment="1">
      <alignment horizontal="left" vertical="center" wrapText="1"/>
    </xf>
    <xf numFmtId="0" fontId="30" fillId="18" borderId="0" xfId="0" applyFont="1" applyFill="1"/>
    <xf numFmtId="0" fontId="30" fillId="19" borderId="0" xfId="0" applyFont="1" applyFill="1"/>
    <xf numFmtId="0" fontId="25" fillId="9" borderId="0" xfId="0" applyFont="1" applyFill="1" applyAlignment="1">
      <alignment vertical="top" wrapText="1"/>
    </xf>
    <xf numFmtId="0" fontId="25" fillId="9" borderId="0" xfId="0" applyFont="1" applyFill="1"/>
    <xf numFmtId="0" fontId="30" fillId="9" borderId="0" xfId="0" applyFont="1" applyFill="1"/>
    <xf numFmtId="0" fontId="65" fillId="9" borderId="0" xfId="0" quotePrefix="1" applyFont="1" applyFill="1" applyAlignment="1">
      <alignment horizontal="left" vertical="top" wrapText="1"/>
    </xf>
    <xf numFmtId="0" fontId="25" fillId="9" borderId="0" xfId="0" applyFont="1" applyFill="1" applyAlignment="1">
      <alignment horizontal="left" wrapText="1"/>
    </xf>
    <xf numFmtId="0" fontId="25" fillId="9" borderId="0" xfId="0" quotePrefix="1" applyFont="1" applyFill="1" applyAlignment="1">
      <alignment wrapText="1"/>
    </xf>
    <xf numFmtId="0" fontId="25" fillId="9" borderId="0" xfId="0" applyFont="1" applyFill="1" applyAlignment="1">
      <alignment wrapText="1"/>
    </xf>
    <xf numFmtId="0" fontId="25" fillId="9" borderId="48" xfId="0" quotePrefix="1" applyFont="1" applyFill="1" applyBorder="1"/>
    <xf numFmtId="0" fontId="25" fillId="9" borderId="20" xfId="0" quotePrefix="1" applyFont="1" applyFill="1" applyBorder="1"/>
    <xf numFmtId="0" fontId="25" fillId="9" borderId="20" xfId="0" applyFont="1" applyFill="1" applyBorder="1"/>
    <xf numFmtId="0" fontId="25" fillId="9" borderId="37" xfId="0" applyFont="1" applyFill="1" applyBorder="1"/>
    <xf numFmtId="0" fontId="0" fillId="9" borderId="0" xfId="0" applyFill="1"/>
    <xf numFmtId="0" fontId="68" fillId="9" borderId="0" xfId="0" applyFont="1" applyFill="1"/>
    <xf numFmtId="0" fontId="28" fillId="9" borderId="0" xfId="0" applyFont="1" applyFill="1" applyAlignment="1">
      <alignment horizontal="right"/>
    </xf>
    <xf numFmtId="49" fontId="26" fillId="9" borderId="0" xfId="0" applyNumberFormat="1" applyFont="1" applyFill="1" applyAlignment="1">
      <alignment vertical="top"/>
    </xf>
    <xf numFmtId="49" fontId="27" fillId="9" borderId="0" xfId="0" applyNumberFormat="1" applyFont="1" applyFill="1" applyAlignment="1">
      <alignment vertical="top" wrapText="1"/>
    </xf>
    <xf numFmtId="49" fontId="28" fillId="9" borderId="0" xfId="0" applyNumberFormat="1" applyFont="1" applyFill="1" applyAlignment="1">
      <alignment horizontal="left" vertical="center" wrapText="1"/>
    </xf>
    <xf numFmtId="49" fontId="28" fillId="9" borderId="0" xfId="0" applyNumberFormat="1" applyFont="1" applyFill="1" applyAlignment="1">
      <alignment vertical="top" wrapText="1"/>
    </xf>
    <xf numFmtId="49" fontId="31" fillId="9" borderId="0" xfId="0" applyNumberFormat="1" applyFont="1" applyFill="1" applyAlignment="1">
      <alignment horizontal="left" vertical="top" wrapText="1"/>
    </xf>
    <xf numFmtId="0" fontId="29" fillId="9" borderId="0" xfId="0" applyFont="1" applyFill="1" applyAlignment="1">
      <alignment horizontal="left"/>
    </xf>
    <xf numFmtId="0" fontId="30" fillId="9" borderId="0" xfId="0" applyFont="1" applyFill="1" applyAlignment="1">
      <alignment vertical="top" wrapText="1"/>
    </xf>
    <xf numFmtId="0" fontId="32" fillId="9" borderId="0" xfId="0" applyFont="1" applyFill="1" applyAlignment="1">
      <alignment vertical="center" wrapText="1"/>
    </xf>
    <xf numFmtId="0" fontId="25" fillId="9" borderId="0" xfId="0" applyFont="1" applyFill="1" applyAlignment="1">
      <alignment horizontal="left" vertical="top" wrapText="1"/>
    </xf>
    <xf numFmtId="0" fontId="25" fillId="9" borderId="0" xfId="0" applyFont="1" applyFill="1" applyAlignment="1">
      <alignment horizontal="left" vertical="center" wrapText="1"/>
    </xf>
    <xf numFmtId="0" fontId="25" fillId="9" borderId="0" xfId="0" applyFont="1" applyFill="1" applyAlignment="1">
      <alignment vertical="center" wrapText="1"/>
    </xf>
    <xf numFmtId="0" fontId="24" fillId="20" borderId="0" xfId="0" applyFont="1" applyFill="1" applyAlignment="1">
      <alignment horizontal="left" vertical="top" wrapText="1"/>
    </xf>
    <xf numFmtId="0" fontId="0" fillId="9" borderId="0" xfId="0" applyFill="1" applyProtection="1">
      <protection locked="0"/>
    </xf>
    <xf numFmtId="14" fontId="0" fillId="9" borderId="9" xfId="0" applyNumberFormat="1" applyFill="1" applyBorder="1" applyAlignment="1" applyProtection="1">
      <alignment horizontal="right"/>
      <protection locked="0"/>
    </xf>
    <xf numFmtId="14" fontId="0" fillId="9" borderId="9" xfId="0" applyNumberFormat="1" applyFill="1" applyBorder="1" applyProtection="1">
      <protection locked="0"/>
    </xf>
    <xf numFmtId="0" fontId="0" fillId="9" borderId="9" xfId="0" applyFill="1" applyBorder="1" applyProtection="1">
      <protection locked="0"/>
    </xf>
    <xf numFmtId="0" fontId="0" fillId="21" borderId="10" xfId="0" applyFill="1" applyBorder="1"/>
    <xf numFmtId="0" fontId="0" fillId="21" borderId="11" xfId="0" applyFill="1" applyBorder="1"/>
    <xf numFmtId="0" fontId="0" fillId="21" borderId="13" xfId="0" applyFill="1" applyBorder="1"/>
    <xf numFmtId="0" fontId="6" fillId="21" borderId="0" xfId="0" applyFont="1" applyFill="1"/>
    <xf numFmtId="0" fontId="0" fillId="21" borderId="15" xfId="0" applyFill="1" applyBorder="1"/>
    <xf numFmtId="0" fontId="0" fillId="21" borderId="16" xfId="0" applyFill="1" applyBorder="1"/>
    <xf numFmtId="0" fontId="0" fillId="21" borderId="12" xfId="0" applyFill="1" applyBorder="1"/>
    <xf numFmtId="0" fontId="0" fillId="21" borderId="14" xfId="0" applyFill="1" applyBorder="1"/>
    <xf numFmtId="0" fontId="0" fillId="21" borderId="17" xfId="0" applyFill="1" applyBorder="1"/>
    <xf numFmtId="0" fontId="30" fillId="21" borderId="0" xfId="0" applyFont="1" applyFill="1"/>
    <xf numFmtId="0" fontId="36" fillId="21" borderId="0" xfId="0" applyFont="1" applyFill="1"/>
    <xf numFmtId="49" fontId="28" fillId="22" borderId="0" xfId="0" applyNumberFormat="1" applyFont="1" applyFill="1" applyAlignment="1">
      <alignment horizontal="left" vertical="center" wrapText="1"/>
    </xf>
    <xf numFmtId="49" fontId="28" fillId="22" borderId="0" xfId="0" applyNumberFormat="1" applyFont="1" applyFill="1" applyAlignment="1">
      <alignment vertical="top" wrapText="1"/>
    </xf>
    <xf numFmtId="49" fontId="31" fillId="23" borderId="0" xfId="0" applyNumberFormat="1" applyFont="1" applyFill="1" applyAlignment="1">
      <alignment horizontal="left" vertical="top" wrapText="1"/>
    </xf>
    <xf numFmtId="0" fontId="2" fillId="9" borderId="0" xfId="0" applyFont="1" applyFill="1"/>
    <xf numFmtId="0" fontId="3" fillId="9" borderId="0" xfId="0" applyFont="1" applyFill="1"/>
    <xf numFmtId="0" fontId="4" fillId="9" borderId="0" xfId="0" applyFont="1" applyFill="1"/>
    <xf numFmtId="49" fontId="26" fillId="23" borderId="0" xfId="0" applyNumberFormat="1" applyFont="1" applyFill="1" applyAlignment="1">
      <alignment vertical="top"/>
    </xf>
    <xf numFmtId="49" fontId="27" fillId="22" borderId="0" xfId="0" applyNumberFormat="1" applyFont="1" applyFill="1" applyAlignment="1">
      <alignment vertical="top" wrapText="1"/>
    </xf>
    <xf numFmtId="0" fontId="25" fillId="9" borderId="0" xfId="0" applyFont="1" applyFill="1" applyAlignment="1">
      <alignment horizontal="left"/>
    </xf>
    <xf numFmtId="0" fontId="25" fillId="9" borderId="0" xfId="0" applyFont="1" applyFill="1" applyAlignment="1">
      <alignment horizontal="left" vertical="top" wrapText="1"/>
    </xf>
    <xf numFmtId="0" fontId="67" fillId="18" borderId="48" xfId="3" applyFont="1" applyFill="1" applyBorder="1" applyAlignment="1">
      <alignment horizontal="center" vertical="center"/>
    </xf>
    <xf numFmtId="0" fontId="67" fillId="18" borderId="20" xfId="3" applyFont="1" applyFill="1" applyBorder="1" applyAlignment="1">
      <alignment horizontal="center" vertical="center"/>
    </xf>
    <xf numFmtId="0" fontId="67" fillId="18" borderId="37" xfId="3" applyFont="1" applyFill="1" applyBorder="1" applyAlignment="1">
      <alignment horizontal="center" vertical="center"/>
    </xf>
    <xf numFmtId="0" fontId="67" fillId="18" borderId="48" xfId="0" applyFont="1" applyFill="1" applyBorder="1" applyAlignment="1">
      <alignment horizontal="center" vertical="center" wrapText="1"/>
    </xf>
    <xf numFmtId="0" fontId="67" fillId="18" borderId="20" xfId="0" applyFont="1" applyFill="1" applyBorder="1" applyAlignment="1">
      <alignment horizontal="center" vertical="center" wrapText="1"/>
    </xf>
    <xf numFmtId="0" fontId="67" fillId="18" borderId="37" xfId="0" applyFont="1" applyFill="1" applyBorder="1" applyAlignment="1">
      <alignment horizontal="center" vertical="center" wrapText="1"/>
    </xf>
    <xf numFmtId="0" fontId="67" fillId="18" borderId="48" xfId="0" applyFont="1" applyFill="1" applyBorder="1" applyAlignment="1">
      <alignment horizontal="center" vertical="center"/>
    </xf>
    <xf numFmtId="0" fontId="67" fillId="18" borderId="20" xfId="0" applyFont="1" applyFill="1" applyBorder="1" applyAlignment="1">
      <alignment horizontal="center" vertical="center"/>
    </xf>
    <xf numFmtId="0" fontId="67" fillId="18" borderId="37" xfId="0" applyFont="1" applyFill="1" applyBorder="1" applyAlignment="1">
      <alignment horizontal="center" vertical="center"/>
    </xf>
    <xf numFmtId="0" fontId="47" fillId="6" borderId="95" xfId="0" applyFont="1" applyFill="1" applyBorder="1" applyAlignment="1">
      <alignment horizontal="left" vertical="center" wrapText="1"/>
    </xf>
    <xf numFmtId="0" fontId="47" fillId="6" borderId="96" xfId="0" applyFont="1" applyFill="1" applyBorder="1" applyAlignment="1">
      <alignment horizontal="left" vertical="center" wrapText="1"/>
    </xf>
    <xf numFmtId="0" fontId="47" fillId="6" borderId="97" xfId="0" applyFont="1" applyFill="1" applyBorder="1" applyAlignment="1">
      <alignment horizontal="left" vertical="center" wrapText="1"/>
    </xf>
    <xf numFmtId="0" fontId="14" fillId="0" borderId="39" xfId="0" applyFont="1" applyBorder="1" applyAlignment="1">
      <alignment horizontal="left" vertical="center" wrapText="1"/>
    </xf>
    <xf numFmtId="0" fontId="14" fillId="0" borderId="38" xfId="0" applyFont="1" applyBorder="1" applyAlignment="1">
      <alignment horizontal="left" vertical="center" wrapText="1"/>
    </xf>
    <xf numFmtId="0" fontId="14" fillId="6" borderId="92" xfId="0" applyFont="1" applyFill="1" applyBorder="1" applyAlignment="1">
      <alignment horizontal="left" vertical="center" wrapText="1"/>
    </xf>
    <xf numFmtId="0" fontId="14" fillId="6" borderId="94" xfId="0" applyFont="1" applyFill="1" applyBorder="1" applyAlignment="1">
      <alignment horizontal="left" vertical="center" wrapText="1"/>
    </xf>
    <xf numFmtId="0" fontId="19" fillId="0" borderId="43"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38" xfId="0" applyFont="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12" fillId="0" borderId="2" xfId="0" applyFont="1" applyBorder="1" applyAlignment="1">
      <alignment horizontal="left" vertical="center"/>
    </xf>
    <xf numFmtId="0" fontId="61" fillId="6" borderId="43" xfId="0" applyFont="1" applyFill="1" applyBorder="1" applyAlignment="1">
      <alignment horizontal="center" vertical="center" wrapText="1"/>
    </xf>
    <xf numFmtId="0" fontId="61" fillId="6" borderId="39" xfId="0" applyFont="1" applyFill="1" applyBorder="1" applyAlignment="1">
      <alignment horizontal="center" vertical="center" wrapText="1"/>
    </xf>
    <xf numFmtId="0" fontId="61" fillId="6" borderId="42" xfId="0" applyFont="1" applyFill="1" applyBorder="1" applyAlignment="1">
      <alignment horizontal="center" vertical="center" wrapText="1"/>
    </xf>
    <xf numFmtId="0" fontId="14" fillId="0" borderId="56" xfId="0" applyFont="1" applyBorder="1" applyAlignment="1">
      <alignment horizontal="left" vertical="center" wrapText="1"/>
    </xf>
    <xf numFmtId="0" fontId="12" fillId="0" borderId="39" xfId="0" applyFont="1" applyBorder="1" applyAlignment="1">
      <alignment horizontal="left" vertical="center" wrapText="1"/>
    </xf>
    <xf numFmtId="0" fontId="12" fillId="0" borderId="39" xfId="0" applyFont="1" applyBorder="1" applyAlignment="1">
      <alignment horizontal="left" vertical="center"/>
    </xf>
    <xf numFmtId="0" fontId="12" fillId="0" borderId="56" xfId="0" applyFont="1" applyBorder="1" applyAlignment="1">
      <alignment horizontal="left" vertical="center"/>
    </xf>
    <xf numFmtId="0" fontId="14" fillId="6" borderId="100" xfId="0" applyFont="1" applyFill="1" applyBorder="1" applyAlignment="1">
      <alignment horizontal="left" vertical="center" wrapText="1"/>
    </xf>
    <xf numFmtId="0" fontId="16" fillId="0" borderId="39" xfId="0" applyFont="1" applyBorder="1" applyAlignment="1">
      <alignment horizontal="left" vertical="center" wrapText="1"/>
    </xf>
    <xf numFmtId="0" fontId="16" fillId="0" borderId="38" xfId="0" applyFont="1" applyBorder="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horizontal="left" vertical="center"/>
    </xf>
    <xf numFmtId="0" fontId="15" fillId="0" borderId="2" xfId="0" applyFont="1" applyBorder="1" applyAlignment="1">
      <alignment horizontal="left" vertical="center"/>
    </xf>
    <xf numFmtId="0" fontId="15" fillId="6" borderId="92" xfId="0" applyFont="1" applyFill="1" applyBorder="1" applyAlignment="1">
      <alignment horizontal="left" vertical="center" wrapText="1"/>
    </xf>
    <xf numFmtId="0" fontId="15" fillId="6" borderId="100" xfId="0" applyFont="1" applyFill="1" applyBorder="1" applyAlignment="1">
      <alignment horizontal="left" vertical="center" wrapText="1"/>
    </xf>
    <xf numFmtId="0" fontId="49" fillId="0" borderId="39" xfId="0" applyFont="1" applyBorder="1" applyAlignment="1">
      <alignment horizontal="left" vertical="center" wrapText="1"/>
    </xf>
    <xf numFmtId="0" fontId="46" fillId="0" borderId="39" xfId="0" applyFont="1" applyBorder="1" applyAlignment="1">
      <alignment horizontal="left" vertical="center" wrapText="1"/>
    </xf>
    <xf numFmtId="0" fontId="46" fillId="0" borderId="38" xfId="0" applyFont="1" applyBorder="1" applyAlignment="1">
      <alignment horizontal="left" vertical="center" wrapText="1"/>
    </xf>
    <xf numFmtId="0" fontId="14" fillId="6" borderId="92" xfId="0" applyFont="1" applyFill="1" applyBorder="1" applyAlignment="1">
      <alignment horizontal="left" vertical="center"/>
    </xf>
    <xf numFmtId="0" fontId="14" fillId="6" borderId="94" xfId="0" applyFont="1" applyFill="1" applyBorder="1" applyAlignment="1">
      <alignment horizontal="left" vertical="center"/>
    </xf>
    <xf numFmtId="0" fontId="12" fillId="0" borderId="43" xfId="0" applyFont="1" applyBorder="1" applyAlignment="1">
      <alignment horizontal="center" vertical="center"/>
    </xf>
    <xf numFmtId="0" fontId="12" fillId="0" borderId="39" xfId="0" applyFont="1" applyBorder="1" applyAlignment="1">
      <alignment horizontal="center" vertical="center"/>
    </xf>
    <xf numFmtId="0" fontId="18" fillId="6" borderId="43" xfId="0" applyFont="1" applyFill="1" applyBorder="1" applyAlignment="1">
      <alignment horizontal="center" vertical="center" wrapText="1"/>
    </xf>
    <xf numFmtId="0" fontId="18" fillId="6" borderId="39" xfId="0" applyFont="1" applyFill="1" applyBorder="1" applyAlignment="1">
      <alignment horizontal="center" vertical="center" wrapText="1"/>
    </xf>
    <xf numFmtId="0" fontId="18" fillId="6" borderId="42" xfId="0" applyFont="1" applyFill="1" applyBorder="1" applyAlignment="1">
      <alignment horizontal="center" vertical="center" wrapText="1"/>
    </xf>
    <xf numFmtId="0" fontId="42" fillId="6" borderId="39" xfId="0" applyFont="1" applyFill="1" applyBorder="1" applyAlignment="1">
      <alignment horizontal="center" vertical="center" wrapText="1"/>
    </xf>
    <xf numFmtId="0" fontId="12" fillId="6" borderId="39" xfId="0" applyFont="1" applyFill="1" applyBorder="1" applyAlignment="1">
      <alignment horizontal="center" vertical="center"/>
    </xf>
    <xf numFmtId="0" fontId="12" fillId="6" borderId="38" xfId="0" applyFont="1" applyFill="1" applyBorder="1" applyAlignment="1">
      <alignment horizontal="center" vertical="center"/>
    </xf>
    <xf numFmtId="0" fontId="62" fillId="0" borderId="43" xfId="0" applyFont="1" applyBorder="1" applyAlignment="1">
      <alignment horizontal="center" vertical="center" wrapText="1"/>
    </xf>
    <xf numFmtId="0" fontId="62" fillId="0" borderId="39" xfId="0" applyFont="1" applyBorder="1" applyAlignment="1">
      <alignment horizontal="center" vertical="center" wrapText="1"/>
    </xf>
    <xf numFmtId="0" fontId="42" fillId="0" borderId="39" xfId="0" applyFont="1" applyBorder="1" applyAlignment="1">
      <alignment horizontal="center" vertical="center" wrapText="1"/>
    </xf>
    <xf numFmtId="0" fontId="12" fillId="0" borderId="38" xfId="0" applyFont="1" applyBorder="1" applyAlignment="1">
      <alignment horizontal="center" vertical="center"/>
    </xf>
    <xf numFmtId="0" fontId="61" fillId="0" borderId="43" xfId="0" applyFont="1" applyBorder="1" applyAlignment="1">
      <alignment horizontal="center" vertical="center" wrapText="1"/>
    </xf>
    <xf numFmtId="0" fontId="61" fillId="0" borderId="39" xfId="0" applyFont="1" applyBorder="1" applyAlignment="1">
      <alignment horizontal="center" vertical="center" wrapText="1"/>
    </xf>
    <xf numFmtId="0" fontId="12" fillId="6" borderId="43" xfId="0" applyFont="1" applyFill="1" applyBorder="1" applyAlignment="1">
      <alignment horizontal="center" vertical="center" wrapText="1"/>
    </xf>
    <xf numFmtId="0" fontId="12" fillId="6" borderId="39"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18" fillId="0" borderId="43" xfId="0" applyFont="1" applyBorder="1" applyAlignment="1">
      <alignment horizontal="center" vertical="center" wrapText="1"/>
    </xf>
    <xf numFmtId="0" fontId="18" fillId="0" borderId="39" xfId="0" applyFont="1" applyBorder="1" applyAlignment="1">
      <alignment horizontal="center" vertical="center"/>
    </xf>
    <xf numFmtId="0" fontId="18" fillId="0" borderId="38" xfId="0" applyFont="1" applyBorder="1" applyAlignment="1">
      <alignment horizontal="center" vertical="center"/>
    </xf>
    <xf numFmtId="0" fontId="42" fillId="6" borderId="43" xfId="0" applyFont="1" applyFill="1" applyBorder="1" applyAlignment="1">
      <alignment horizontal="center" vertical="center" wrapText="1"/>
    </xf>
    <xf numFmtId="0" fontId="45" fillId="6" borderId="92" xfId="0" applyFont="1" applyFill="1" applyBorder="1" applyAlignment="1">
      <alignment horizontal="left" vertical="center" wrapText="1"/>
    </xf>
    <xf numFmtId="0" fontId="45" fillId="6" borderId="94" xfId="0" applyFont="1" applyFill="1" applyBorder="1" applyAlignment="1">
      <alignment horizontal="left" vertical="center" wrapText="1"/>
    </xf>
    <xf numFmtId="0" fontId="42" fillId="6" borderId="92" xfId="0" applyFont="1" applyFill="1" applyBorder="1" applyAlignment="1">
      <alignment horizontal="left" vertical="center" wrapText="1"/>
    </xf>
    <xf numFmtId="0" fontId="12" fillId="6" borderId="92" xfId="0" applyFont="1" applyFill="1" applyBorder="1" applyAlignment="1">
      <alignment horizontal="left" vertical="center" wrapText="1"/>
    </xf>
    <xf numFmtId="0" fontId="12" fillId="6" borderId="100" xfId="0" applyFont="1" applyFill="1" applyBorder="1" applyAlignment="1">
      <alignment horizontal="left" vertical="center" wrapText="1"/>
    </xf>
    <xf numFmtId="0" fontId="12" fillId="0" borderId="59" xfId="0" quotePrefix="1" applyFont="1" applyBorder="1" applyAlignment="1">
      <alignment horizontal="left" vertical="top" wrapText="1"/>
    </xf>
    <xf numFmtId="0" fontId="12" fillId="0" borderId="39" xfId="0" quotePrefix="1" applyFont="1" applyBorder="1" applyAlignment="1">
      <alignment horizontal="left" vertical="top" wrapText="1"/>
    </xf>
    <xf numFmtId="0" fontId="42" fillId="0" borderId="39" xfId="0" applyFont="1" applyBorder="1" applyAlignment="1">
      <alignment horizontal="left" vertical="top" wrapText="1"/>
    </xf>
    <xf numFmtId="0" fontId="12" fillId="0" borderId="56" xfId="0" applyFont="1" applyBorder="1" applyAlignment="1">
      <alignment horizontal="left" vertical="top" wrapText="1"/>
    </xf>
    <xf numFmtId="0" fontId="47" fillId="0" borderId="39" xfId="0" applyFont="1" applyBorder="1" applyAlignment="1">
      <alignment horizontal="left" vertical="top" wrapText="1"/>
    </xf>
    <xf numFmtId="0" fontId="47" fillId="0" borderId="56" xfId="0" applyFont="1" applyBorder="1" applyAlignment="1">
      <alignment horizontal="left" vertical="top" wrapText="1"/>
    </xf>
    <xf numFmtId="0" fontId="12" fillId="0" borderId="39" xfId="0" applyFont="1" applyBorder="1" applyAlignment="1">
      <alignment horizontal="left" vertical="top" wrapText="1"/>
    </xf>
    <xf numFmtId="0" fontId="14" fillId="6" borderId="100" xfId="0" applyFont="1" applyFill="1" applyBorder="1" applyAlignment="1">
      <alignment horizontal="left" vertical="center"/>
    </xf>
    <xf numFmtId="0" fontId="59" fillId="6" borderId="43" xfId="0" applyFont="1" applyFill="1" applyBorder="1" applyAlignment="1">
      <alignment horizontal="center" vertical="center" wrapText="1"/>
    </xf>
    <xf numFmtId="0" fontId="14" fillId="6" borderId="39" xfId="0" applyFont="1" applyFill="1" applyBorder="1" applyAlignment="1">
      <alignment horizontal="left" vertical="top" wrapText="1"/>
    </xf>
    <xf numFmtId="0" fontId="12" fillId="6" borderId="39" xfId="0" applyFont="1" applyFill="1" applyBorder="1" applyAlignment="1">
      <alignment horizontal="left" vertical="top" wrapText="1"/>
    </xf>
    <xf numFmtId="0" fontId="12" fillId="6" borderId="56" xfId="0" applyFont="1" applyFill="1" applyBorder="1" applyAlignment="1">
      <alignment horizontal="left" vertical="top" wrapText="1"/>
    </xf>
    <xf numFmtId="0" fontId="12" fillId="6" borderId="92" xfId="0" applyFont="1" applyFill="1" applyBorder="1" applyAlignment="1">
      <alignment horizontal="left" vertical="top" wrapText="1"/>
    </xf>
    <xf numFmtId="0" fontId="14" fillId="0" borderId="39" xfId="0" applyFont="1" applyBorder="1" applyAlignment="1">
      <alignment horizontal="left" vertical="top" wrapText="1"/>
    </xf>
    <xf numFmtId="0" fontId="16" fillId="6" borderId="92" xfId="0" applyFont="1" applyFill="1" applyBorder="1" applyAlignment="1">
      <alignment horizontal="left" vertical="center" wrapText="1"/>
    </xf>
    <xf numFmtId="0" fontId="16" fillId="6" borderId="94" xfId="0" applyFont="1" applyFill="1" applyBorder="1" applyAlignment="1">
      <alignment horizontal="left" vertical="center" wrapText="1"/>
    </xf>
    <xf numFmtId="0" fontId="16" fillId="0" borderId="92" xfId="0" applyFont="1" applyBorder="1" applyAlignment="1">
      <alignment horizontal="left" vertical="center" wrapText="1"/>
    </xf>
    <xf numFmtId="0" fontId="16" fillId="0" borderId="94" xfId="0" applyFont="1" applyBorder="1" applyAlignment="1">
      <alignment horizontal="left" vertical="center" wrapText="1"/>
    </xf>
    <xf numFmtId="0" fontId="12" fillId="0" borderId="38" xfId="0" applyFont="1" applyBorder="1" applyAlignment="1">
      <alignment horizontal="left" vertical="top" wrapText="1"/>
    </xf>
    <xf numFmtId="0" fontId="12" fillId="0" borderId="43"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38" xfId="0" applyFont="1" applyBorder="1" applyAlignment="1">
      <alignment horizontal="center" vertical="center" wrapText="1"/>
    </xf>
    <xf numFmtId="0" fontId="14" fillId="6" borderId="92" xfId="0" applyFont="1" applyFill="1" applyBorder="1" applyAlignment="1">
      <alignment horizontal="left" vertical="top" wrapText="1"/>
    </xf>
    <xf numFmtId="0" fontId="12" fillId="6" borderId="94" xfId="0" applyFont="1" applyFill="1" applyBorder="1" applyAlignment="1">
      <alignment horizontal="left" vertical="top" wrapText="1"/>
    </xf>
    <xf numFmtId="0" fontId="14" fillId="0" borderId="43"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38" xfId="0" applyFont="1" applyBorder="1" applyAlignment="1">
      <alignment horizontal="center" vertical="center" wrapText="1"/>
    </xf>
    <xf numFmtId="0" fontId="12" fillId="6" borderId="38" xfId="0" applyFont="1" applyFill="1" applyBorder="1" applyAlignment="1">
      <alignment horizontal="left" vertical="top" wrapText="1"/>
    </xf>
    <xf numFmtId="0" fontId="12" fillId="0" borderId="59" xfId="0" applyFont="1" applyBorder="1" applyAlignment="1">
      <alignment horizontal="left" vertical="top" wrapText="1"/>
    </xf>
    <xf numFmtId="0" fontId="14" fillId="0" borderId="38" xfId="0" applyFont="1" applyBorder="1" applyAlignment="1">
      <alignment horizontal="left" vertical="top" wrapText="1"/>
    </xf>
    <xf numFmtId="0" fontId="47" fillId="6" borderId="43" xfId="0" applyFont="1" applyFill="1" applyBorder="1" applyAlignment="1">
      <alignment horizontal="center" vertical="center" wrapText="1"/>
    </xf>
    <xf numFmtId="0" fontId="47" fillId="6" borderId="39" xfId="0" applyFont="1" applyFill="1" applyBorder="1" applyAlignment="1">
      <alignment horizontal="center" vertical="center" wrapText="1"/>
    </xf>
    <xf numFmtId="0" fontId="47" fillId="6" borderId="38" xfId="0" applyFont="1" applyFill="1" applyBorder="1" applyAlignment="1">
      <alignment horizontal="center" vertical="center" wrapText="1"/>
    </xf>
    <xf numFmtId="10" fontId="33" fillId="0" borderId="66" xfId="0" applyNumberFormat="1" applyFont="1" applyBorder="1" applyAlignment="1">
      <alignment horizontal="center" vertical="center"/>
    </xf>
    <xf numFmtId="10" fontId="33" fillId="0" borderId="63" xfId="0" applyNumberFormat="1" applyFont="1" applyBorder="1" applyAlignment="1">
      <alignment horizontal="center" vertical="center"/>
    </xf>
    <xf numFmtId="0" fontId="33" fillId="0" borderId="0" xfId="0" applyFont="1" applyAlignment="1">
      <alignment horizontal="left" vertical="center" wrapText="1"/>
    </xf>
    <xf numFmtId="0" fontId="32" fillId="0" borderId="0" xfId="0" applyFont="1" applyAlignment="1">
      <alignment horizontal="left" vertical="center" wrapText="1"/>
    </xf>
    <xf numFmtId="0" fontId="36" fillId="0" borderId="36" xfId="3" applyNumberFormat="1" applyFont="1" applyBorder="1" applyAlignment="1">
      <alignment horizontal="left" vertical="center" wrapText="1"/>
    </xf>
    <xf numFmtId="0" fontId="36" fillId="0" borderId="32" xfId="3" applyNumberFormat="1" applyFont="1" applyBorder="1" applyAlignment="1">
      <alignment horizontal="left" vertical="center" wrapText="1"/>
    </xf>
    <xf numFmtId="0" fontId="56" fillId="0" borderId="36" xfId="3" applyNumberFormat="1" applyFont="1" applyBorder="1" applyAlignment="1">
      <alignment horizontal="left" vertical="center" wrapText="1"/>
    </xf>
    <xf numFmtId="0" fontId="56" fillId="0" borderId="32" xfId="3" applyNumberFormat="1" applyFont="1" applyBorder="1" applyAlignment="1">
      <alignment horizontal="left" vertical="center" wrapText="1"/>
    </xf>
    <xf numFmtId="0" fontId="33" fillId="0" borderId="33" xfId="1" applyNumberFormat="1" applyFont="1" applyBorder="1" applyAlignment="1">
      <alignment horizontal="left" vertical="center" wrapText="1"/>
    </xf>
    <xf numFmtId="0" fontId="33" fillId="0" borderId="28" xfId="1" applyNumberFormat="1" applyFont="1" applyBorder="1" applyAlignment="1">
      <alignment horizontal="left" vertical="center" wrapText="1"/>
    </xf>
    <xf numFmtId="0" fontId="32" fillId="3" borderId="62" xfId="1" applyNumberFormat="1" applyFont="1" applyFill="1" applyBorder="1" applyAlignment="1">
      <alignment horizontal="left" vertical="center"/>
    </xf>
    <xf numFmtId="0" fontId="32" fillId="3" borderId="63" xfId="1" applyNumberFormat="1" applyFont="1" applyFill="1" applyBorder="1" applyAlignment="1">
      <alignment horizontal="left" vertical="center"/>
    </xf>
    <xf numFmtId="0" fontId="33" fillId="0" borderId="34" xfId="1" applyNumberFormat="1" applyFont="1" applyBorder="1" applyAlignment="1">
      <alignment horizontal="left" vertical="center" wrapText="1"/>
    </xf>
    <xf numFmtId="3" fontId="32" fillId="3" borderId="62" xfId="1" applyNumberFormat="1" applyFont="1" applyFill="1" applyBorder="1" applyAlignment="1">
      <alignment horizontal="left" vertical="center"/>
    </xf>
    <xf numFmtId="3" fontId="32" fillId="3" borderId="66" xfId="1" applyNumberFormat="1" applyFont="1" applyFill="1" applyBorder="1" applyAlignment="1">
      <alignment horizontal="left" vertical="center"/>
    </xf>
    <xf numFmtId="3" fontId="32" fillId="3" borderId="63" xfId="1" applyNumberFormat="1" applyFont="1" applyFill="1" applyBorder="1" applyAlignment="1">
      <alignment horizontal="left" vertical="center"/>
    </xf>
    <xf numFmtId="3" fontId="32" fillId="3" borderId="103" xfId="1" applyNumberFormat="1" applyFont="1" applyFill="1" applyBorder="1" applyAlignment="1">
      <alignment horizontal="left" vertical="center"/>
    </xf>
    <xf numFmtId="3" fontId="32" fillId="3" borderId="104" xfId="1" applyNumberFormat="1" applyFont="1" applyFill="1" applyBorder="1" applyAlignment="1">
      <alignment horizontal="left" vertical="center"/>
    </xf>
    <xf numFmtId="0" fontId="32" fillId="3" borderId="62" xfId="1" applyNumberFormat="1" applyFont="1" applyFill="1" applyBorder="1" applyAlignment="1">
      <alignment horizontal="left" vertical="center" wrapText="1"/>
    </xf>
    <xf numFmtId="0" fontId="32" fillId="3" borderId="63" xfId="1" applyNumberFormat="1" applyFont="1" applyFill="1" applyBorder="1" applyAlignment="1">
      <alignment horizontal="left" vertical="center" wrapText="1"/>
    </xf>
    <xf numFmtId="0" fontId="33" fillId="13" borderId="68" xfId="0" applyFont="1" applyFill="1" applyBorder="1" applyAlignment="1">
      <alignment horizontal="center" vertical="center"/>
    </xf>
    <xf numFmtId="0" fontId="33" fillId="13" borderId="67" xfId="0" applyFont="1" applyFill="1" applyBorder="1" applyAlignment="1">
      <alignment horizontal="center" vertical="center"/>
    </xf>
    <xf numFmtId="0" fontId="33" fillId="0" borderId="70" xfId="0" applyFont="1" applyBorder="1" applyAlignment="1">
      <alignment horizontal="center" vertical="center"/>
    </xf>
    <xf numFmtId="0" fontId="33" fillId="0" borderId="76" xfId="0" applyFont="1" applyBorder="1" applyAlignment="1">
      <alignment horizontal="center" vertical="center"/>
    </xf>
    <xf numFmtId="0" fontId="33" fillId="0" borderId="71" xfId="0" applyFont="1" applyBorder="1" applyAlignment="1">
      <alignment vertical="center" wrapText="1"/>
    </xf>
    <xf numFmtId="0" fontId="33" fillId="0" borderId="72" xfId="0" applyFont="1" applyBorder="1" applyAlignment="1">
      <alignment vertical="center" wrapText="1"/>
    </xf>
    <xf numFmtId="0" fontId="33" fillId="0" borderId="29" xfId="0" applyFont="1" applyBorder="1" applyAlignment="1">
      <alignment vertical="center" wrapText="1"/>
    </xf>
    <xf numFmtId="0" fontId="33" fillId="0" borderId="30" xfId="0" applyFont="1" applyBorder="1" applyAlignment="1">
      <alignment vertical="center" wrapText="1"/>
    </xf>
    <xf numFmtId="0" fontId="32" fillId="0" borderId="72" xfId="0" applyFont="1" applyBorder="1" applyAlignment="1">
      <alignment horizontal="left" vertical="center" wrapText="1"/>
    </xf>
    <xf numFmtId="0" fontId="32" fillId="0" borderId="30" xfId="0" applyFont="1" applyBorder="1" applyAlignment="1">
      <alignment horizontal="left" vertical="center" wrapText="1"/>
    </xf>
    <xf numFmtId="10" fontId="32" fillId="0" borderId="73" xfId="1" applyNumberFormat="1" applyFont="1" applyBorder="1" applyAlignment="1">
      <alignment horizontal="left" vertical="center"/>
    </xf>
    <xf numFmtId="10" fontId="32" fillId="0" borderId="29" xfId="1" applyNumberFormat="1" applyFont="1" applyBorder="1" applyAlignment="1">
      <alignment horizontal="left" vertical="center"/>
    </xf>
    <xf numFmtId="0" fontId="33" fillId="0" borderId="78" xfId="0" applyFont="1" applyBorder="1" applyAlignment="1">
      <alignment horizontal="center" vertical="center"/>
    </xf>
    <xf numFmtId="0" fontId="33" fillId="0" borderId="26" xfId="0" applyFont="1" applyBorder="1" applyAlignment="1">
      <alignment vertical="center"/>
    </xf>
    <xf numFmtId="0" fontId="33" fillId="0" borderId="28" xfId="0" applyFont="1" applyBorder="1" applyAlignment="1">
      <alignment vertical="center"/>
    </xf>
    <xf numFmtId="0" fontId="33" fillId="0" borderId="29" xfId="0" applyFont="1" applyBorder="1" applyAlignment="1">
      <alignment vertical="center"/>
    </xf>
    <xf numFmtId="0" fontId="33" fillId="0" borderId="30" xfId="0" applyFont="1" applyBorder="1" applyAlignment="1">
      <alignment vertical="center"/>
    </xf>
    <xf numFmtId="0" fontId="32" fillId="0" borderId="34" xfId="0" applyFont="1" applyBorder="1" applyAlignment="1">
      <alignment horizontal="left" vertical="center" wrapText="1"/>
    </xf>
    <xf numFmtId="10" fontId="32" fillId="0" borderId="36" xfId="1" applyNumberFormat="1" applyFont="1" applyBorder="1" applyAlignment="1">
      <alignment horizontal="left" vertical="center"/>
    </xf>
    <xf numFmtId="10" fontId="32" fillId="0" borderId="34" xfId="1" applyNumberFormat="1" applyFont="1" applyBorder="1" applyAlignment="1">
      <alignment horizontal="left" vertical="center" wrapText="1"/>
    </xf>
    <xf numFmtId="10" fontId="32" fillId="0" borderId="35" xfId="1" applyNumberFormat="1" applyFont="1" applyBorder="1" applyAlignment="1">
      <alignment horizontal="left" vertical="center" wrapText="1"/>
    </xf>
    <xf numFmtId="0" fontId="33" fillId="0" borderId="26" xfId="0" applyFont="1" applyBorder="1" applyAlignment="1">
      <alignment vertical="center" wrapText="1"/>
    </xf>
    <xf numFmtId="0" fontId="33" fillId="0" borderId="28" xfId="0" applyFont="1" applyBorder="1" applyAlignment="1">
      <alignment vertical="center" wrapText="1"/>
    </xf>
    <xf numFmtId="0" fontId="32" fillId="0" borderId="28" xfId="0" applyFont="1" applyBorder="1" applyAlignment="1">
      <alignment horizontal="left" vertical="center" wrapText="1"/>
    </xf>
    <xf numFmtId="10" fontId="32" fillId="0" borderId="28" xfId="1" applyNumberFormat="1" applyFont="1" applyBorder="1" applyAlignment="1">
      <alignment horizontal="left" vertical="center"/>
    </xf>
    <xf numFmtId="10" fontId="32" fillId="0" borderId="35" xfId="1" applyNumberFormat="1" applyFont="1" applyBorder="1" applyAlignment="1">
      <alignment horizontal="left" vertical="center"/>
    </xf>
    <xf numFmtId="0" fontId="33" fillId="0" borderId="33" xfId="0" applyFont="1" applyBorder="1" applyAlignment="1">
      <alignment vertical="center" wrapText="1"/>
    </xf>
    <xf numFmtId="0" fontId="33" fillId="0" borderId="34" xfId="0" applyFont="1" applyBorder="1" applyAlignment="1">
      <alignment vertical="center" wrapText="1"/>
    </xf>
    <xf numFmtId="0" fontId="33" fillId="0" borderId="33" xfId="0" applyFont="1" applyBorder="1" applyAlignment="1">
      <alignment horizontal="left" vertical="center" wrapText="1"/>
    </xf>
    <xf numFmtId="0" fontId="33" fillId="0" borderId="34" xfId="0" applyFont="1" applyBorder="1" applyAlignment="1">
      <alignment horizontal="left" vertical="center" wrapText="1"/>
    </xf>
    <xf numFmtId="10" fontId="32" fillId="0" borderId="34" xfId="1" applyNumberFormat="1" applyFont="1" applyBorder="1" applyAlignment="1">
      <alignment horizontal="left" vertical="center"/>
    </xf>
    <xf numFmtId="0" fontId="33" fillId="0" borderId="26" xfId="0" applyFont="1" applyBorder="1" applyAlignment="1">
      <alignment horizontal="left" vertical="center" wrapText="1"/>
    </xf>
    <xf numFmtId="0" fontId="33" fillId="0" borderId="28" xfId="0" applyFont="1" applyBorder="1" applyAlignment="1">
      <alignment horizontal="left" vertical="center" wrapText="1"/>
    </xf>
    <xf numFmtId="0" fontId="33" fillId="0" borderId="29" xfId="0" applyFont="1" applyBorder="1" applyAlignment="1">
      <alignment horizontal="left" vertical="center" wrapText="1"/>
    </xf>
    <xf numFmtId="0" fontId="33" fillId="0" borderId="30" xfId="0" applyFont="1" applyBorder="1" applyAlignment="1">
      <alignment horizontal="left" vertical="center" wrapText="1"/>
    </xf>
    <xf numFmtId="0" fontId="32" fillId="0" borderId="27" xfId="0" applyFont="1" applyBorder="1" applyAlignment="1">
      <alignment horizontal="left" vertical="center" wrapText="1"/>
    </xf>
    <xf numFmtId="0" fontId="32" fillId="0" borderId="35" xfId="0" applyFont="1" applyBorder="1" applyAlignment="1">
      <alignment horizontal="left" vertical="center" wrapText="1"/>
    </xf>
    <xf numFmtId="10" fontId="32" fillId="0" borderId="31" xfId="1" applyNumberFormat="1" applyFont="1" applyBorder="1" applyAlignment="1">
      <alignment horizontal="left" vertical="center"/>
    </xf>
    <xf numFmtId="10" fontId="32" fillId="0" borderId="33" xfId="1" applyNumberFormat="1" applyFont="1" applyBorder="1" applyAlignment="1">
      <alignment horizontal="left" vertical="center"/>
    </xf>
    <xf numFmtId="10" fontId="32" fillId="0" borderId="32" xfId="1" applyNumberFormat="1" applyFont="1" applyBorder="1" applyAlignment="1">
      <alignment horizontal="left" vertical="center"/>
    </xf>
    <xf numFmtId="0" fontId="32" fillId="0" borderId="31" xfId="0" applyFont="1" applyBorder="1" applyAlignment="1">
      <alignment horizontal="left" vertical="center" wrapText="1"/>
    </xf>
    <xf numFmtId="0" fontId="32" fillId="0" borderId="32" xfId="0" applyFont="1" applyBorder="1" applyAlignment="1">
      <alignment horizontal="left" vertical="center" wrapText="1"/>
    </xf>
    <xf numFmtId="0" fontId="32" fillId="0" borderId="36" xfId="0" applyFont="1" applyBorder="1" applyAlignment="1">
      <alignment horizontal="left" vertical="center" wrapText="1"/>
    </xf>
    <xf numFmtId="0" fontId="33" fillId="0" borderId="83" xfId="0" applyFont="1" applyBorder="1" applyAlignment="1">
      <alignment horizontal="center" vertical="center"/>
    </xf>
    <xf numFmtId="0" fontId="33" fillId="0" borderId="84" xfId="0" applyFont="1" applyBorder="1" applyAlignment="1">
      <alignment horizontal="left" vertical="center" wrapText="1"/>
    </xf>
    <xf numFmtId="0" fontId="33" fillId="0" borderId="85" xfId="0" applyFont="1" applyBorder="1" applyAlignment="1">
      <alignment horizontal="left" vertical="center" wrapText="1"/>
    </xf>
    <xf numFmtId="0" fontId="32" fillId="0" borderId="85" xfId="0" applyFont="1" applyBorder="1" applyAlignment="1">
      <alignment horizontal="left" vertical="center" wrapText="1"/>
    </xf>
    <xf numFmtId="10" fontId="32" fillId="0" borderId="26" xfId="1" applyNumberFormat="1" applyFont="1" applyBorder="1" applyAlignment="1">
      <alignment horizontal="left" vertical="center"/>
    </xf>
    <xf numFmtId="10" fontId="32" fillId="0" borderId="84" xfId="1" applyNumberFormat="1" applyFont="1" applyBorder="1" applyAlignment="1">
      <alignment horizontal="left" vertical="center"/>
    </xf>
    <xf numFmtId="0" fontId="3" fillId="6" borderId="0" xfId="0" applyFont="1" applyFill="1" applyAlignment="1">
      <alignment horizontal="left" vertical="top" wrapText="1"/>
    </xf>
    <xf numFmtId="0" fontId="4" fillId="6" borderId="0" xfId="0" applyFont="1" applyFill="1" applyAlignment="1">
      <alignment horizontal="left" vertical="top" wrapText="1"/>
    </xf>
    <xf numFmtId="0" fontId="25" fillId="6" borderId="0" xfId="0" applyFont="1" applyFill="1" applyAlignment="1">
      <alignment horizontal="left" vertical="top" wrapText="1"/>
    </xf>
    <xf numFmtId="0" fontId="25" fillId="6" borderId="0" xfId="0" applyFont="1" applyFill="1" applyAlignment="1">
      <alignment horizontal="left" vertical="center" wrapText="1"/>
    </xf>
    <xf numFmtId="0" fontId="30" fillId="6" borderId="0" xfId="0" applyFont="1" applyFill="1" applyAlignment="1">
      <alignment horizontal="left" vertical="center" wrapText="1"/>
    </xf>
    <xf numFmtId="0" fontId="25" fillId="17" borderId="120" xfId="0" applyFont="1" applyFill="1" applyBorder="1" applyAlignment="1">
      <alignment horizontal="left" vertical="center"/>
    </xf>
    <xf numFmtId="0" fontId="25" fillId="17" borderId="121" xfId="0" applyFont="1" applyFill="1" applyBorder="1" applyAlignment="1">
      <alignment horizontal="left" vertical="center"/>
    </xf>
    <xf numFmtId="0" fontId="25" fillId="17" borderId="122" xfId="0" applyFont="1" applyFill="1" applyBorder="1" applyAlignment="1">
      <alignment horizontal="left" vertical="center"/>
    </xf>
    <xf numFmtId="0" fontId="25" fillId="3" borderId="62" xfId="0" applyFont="1" applyFill="1" applyBorder="1" applyAlignment="1">
      <alignment horizontal="center" vertical="center" wrapText="1"/>
    </xf>
    <xf numFmtId="0" fontId="25" fillId="3" borderId="66" xfId="0" applyFont="1" applyFill="1" applyBorder="1" applyAlignment="1">
      <alignment horizontal="center" vertical="center" wrapText="1"/>
    </xf>
    <xf numFmtId="0" fontId="25" fillId="3" borderId="63" xfId="0" applyFont="1" applyFill="1" applyBorder="1" applyAlignment="1">
      <alignment horizontal="center" vertical="center" wrapText="1"/>
    </xf>
  </cellXfs>
  <cellStyles count="5">
    <cellStyle name="Komma" xfId="2" builtinId="3"/>
    <cellStyle name="Komma 2" xfId="4" xr:uid="{3CA7C17B-8ECA-4FC9-A911-40F8C5862089}"/>
    <cellStyle name="Link" xfId="3" builtinId="8"/>
    <cellStyle name="Prozent" xfId="1" builtinId="5"/>
    <cellStyle name="Standard" xfId="0" builtinId="0"/>
  </cellStyles>
  <dxfs count="247">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border>
    </dxf>
    <dxf>
      <font>
        <color theme="0" tint="-0.499984740745262"/>
      </font>
      <fill>
        <patternFill>
          <bgColor theme="0" tint="-0.34998626667073579"/>
        </patternFill>
      </fill>
      <border>
        <left/>
        <right/>
        <top/>
        <bottom/>
      </border>
    </dxf>
    <dxf>
      <fill>
        <patternFill>
          <bgColor theme="9" tint="0.39994506668294322"/>
        </patternFill>
      </fill>
    </dxf>
    <dxf>
      <fill>
        <patternFill>
          <bgColor theme="5" tint="0.39994506668294322"/>
        </patternFill>
      </fill>
    </dxf>
    <dxf>
      <font>
        <color theme="0" tint="-0.499984740745262"/>
      </font>
      <fill>
        <patternFill>
          <bgColor theme="0" tint="-0.34998626667073579"/>
        </patternFill>
      </fill>
      <border>
        <left/>
        <right/>
        <top/>
        <bottom/>
      </border>
    </dxf>
    <dxf>
      <fill>
        <patternFill>
          <bgColor theme="5" tint="0.39994506668294322"/>
        </patternFill>
      </fill>
    </dxf>
    <dxf>
      <fill>
        <patternFill>
          <bgColor theme="9" tint="0.39994506668294322"/>
        </patternFill>
      </fill>
    </dxf>
    <dxf>
      <font>
        <color theme="0" tint="-0.499984740745262"/>
      </font>
      <fill>
        <patternFill>
          <bgColor theme="0" tint="-0.34998626667073579"/>
        </patternFill>
      </fill>
      <border>
        <left/>
        <right/>
        <top/>
        <bottom/>
      </border>
    </dxf>
    <dxf>
      <fill>
        <patternFill>
          <bgColor theme="5" tint="0.39994506668294322"/>
        </patternFill>
      </fill>
    </dxf>
    <dxf>
      <fill>
        <patternFill>
          <bgColor theme="9" tint="0.39994506668294322"/>
        </patternFill>
      </fill>
    </dxf>
    <dxf>
      <font>
        <color theme="0" tint="-0.499984740745262"/>
      </font>
      <fill>
        <patternFill>
          <bgColor theme="0" tint="-0.34998626667073579"/>
        </patternFill>
      </fill>
      <border>
        <left/>
        <right/>
        <top/>
        <bottom/>
      </border>
    </dxf>
    <dxf>
      <font>
        <color theme="0" tint="-0.499984740745262"/>
      </font>
      <fill>
        <patternFill>
          <bgColor theme="0" tint="-0.34998626667073579"/>
        </patternFill>
      </fill>
      <border>
        <left/>
        <right/>
        <top/>
        <bottom/>
      </border>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ont>
        <color theme="0" tint="-0.499984740745262"/>
      </font>
      <fill>
        <patternFill>
          <bgColor theme="0" tint="-0.34998626667073579"/>
        </patternFill>
      </fill>
      <border>
        <left/>
        <right/>
        <top/>
        <bottom/>
      </border>
    </dxf>
    <dxf>
      <font>
        <color theme="0" tint="-0.499984740745262"/>
      </font>
      <fill>
        <patternFill>
          <bgColor theme="0" tint="-0.34998626667073579"/>
        </patternFill>
      </fill>
      <border>
        <left/>
        <right/>
        <top/>
        <bottom/>
      </border>
    </dxf>
    <dxf>
      <fill>
        <patternFill>
          <bgColor theme="5" tint="0.39994506668294322"/>
        </patternFill>
      </fill>
    </dxf>
    <dxf>
      <font>
        <color theme="0" tint="-0.499984740745262"/>
      </font>
      <fill>
        <patternFill>
          <bgColor theme="0" tint="-0.34998626667073579"/>
        </patternFill>
      </fill>
      <border>
        <left/>
        <right/>
        <top/>
        <bottom/>
      </border>
    </dxf>
    <dxf>
      <fill>
        <patternFill>
          <bgColor theme="9" tint="0.39994506668294322"/>
        </patternFill>
      </fill>
    </dxf>
    <dxf>
      <font>
        <color theme="0" tint="-0.499984740745262"/>
      </font>
      <fill>
        <patternFill>
          <bgColor theme="0" tint="-0.34998626667073579"/>
        </patternFill>
      </fill>
      <border>
        <left/>
        <right/>
        <top/>
        <bottom/>
      </border>
    </dxf>
    <dxf>
      <fill>
        <patternFill>
          <bgColor theme="5" tint="0.39994506668294322"/>
        </patternFill>
      </fill>
    </dxf>
    <dxf>
      <fill>
        <patternFill>
          <bgColor theme="9" tint="0.39994506668294322"/>
        </patternFill>
      </fill>
    </dxf>
    <dxf>
      <font>
        <color theme="0" tint="-0.499984740745262"/>
      </font>
      <fill>
        <patternFill>
          <bgColor theme="0" tint="-0.34998626667073579"/>
        </patternFill>
      </fill>
      <border>
        <left/>
        <right/>
        <top/>
        <bottom/>
      </border>
    </dxf>
    <dxf>
      <font>
        <color theme="0" tint="-0.499984740745262"/>
      </font>
      <fill>
        <patternFill>
          <bgColor theme="0" tint="-0.34998626667073579"/>
        </patternFill>
      </fill>
      <border>
        <left/>
        <right/>
        <top/>
        <bottom/>
      </border>
    </dxf>
    <dxf>
      <font>
        <color theme="0" tint="-0.499984740745262"/>
      </font>
      <fill>
        <patternFill>
          <bgColor theme="0" tint="-0.34998626667073579"/>
        </patternFill>
      </fill>
      <border>
        <left/>
        <right/>
        <top/>
        <bottom/>
      </border>
    </dxf>
    <dxf>
      <fill>
        <patternFill>
          <bgColor theme="5" tint="0.39994506668294322"/>
        </patternFill>
      </fill>
    </dxf>
    <dxf>
      <fill>
        <patternFill>
          <bgColor theme="9" tint="0.39994506668294322"/>
        </patternFill>
      </fill>
    </dxf>
    <dxf>
      <font>
        <color theme="0" tint="-0.499984740745262"/>
      </font>
      <fill>
        <patternFill>
          <bgColor theme="0" tint="-0.34998626667073579"/>
        </patternFill>
      </fill>
      <border>
        <left/>
        <right/>
        <top/>
        <bottom/>
      </border>
    </dxf>
    <dxf>
      <font>
        <color theme="0" tint="-0.499984740745262"/>
      </font>
      <fill>
        <patternFill>
          <bgColor theme="0" tint="-0.34998626667073579"/>
        </patternFill>
      </fill>
      <border>
        <left/>
        <right/>
        <top/>
        <bottom/>
      </border>
    </dxf>
    <dxf>
      <fill>
        <patternFill>
          <bgColor theme="5" tint="0.39994506668294322"/>
        </patternFill>
      </fill>
    </dxf>
    <dxf>
      <fill>
        <patternFill>
          <bgColor theme="9" tint="0.39994506668294322"/>
        </patternFill>
      </fill>
    </dxf>
    <dxf>
      <font>
        <color theme="0" tint="-0.499984740745262"/>
      </font>
      <fill>
        <patternFill>
          <bgColor theme="0" tint="-0.34998626667073579"/>
        </patternFill>
      </fill>
      <border>
        <left/>
        <right/>
        <top/>
        <bottom/>
      </border>
    </dxf>
    <dxf>
      <font>
        <color theme="0" tint="-0.499984740745262"/>
      </font>
      <fill>
        <patternFill>
          <bgColor theme="0" tint="-0.34998626667073579"/>
        </patternFill>
      </fill>
      <border>
        <left/>
        <right/>
        <top/>
        <bottom/>
      </border>
    </dxf>
    <dxf>
      <fill>
        <patternFill>
          <bgColor theme="5" tint="0.39994506668294322"/>
        </patternFill>
      </fill>
    </dxf>
    <dxf>
      <fill>
        <patternFill>
          <bgColor theme="9" tint="0.39994506668294322"/>
        </patternFill>
      </fill>
    </dxf>
    <dxf>
      <font>
        <color theme="0" tint="-0.499984740745262"/>
      </font>
      <fill>
        <patternFill>
          <bgColor theme="0" tint="-0.34998626667073579"/>
        </patternFill>
      </fill>
      <border>
        <left/>
        <right/>
        <top/>
        <bottom/>
      </border>
    </dxf>
    <dxf>
      <font>
        <color theme="0" tint="-0.499984740745262"/>
      </font>
      <fill>
        <patternFill>
          <bgColor theme="0" tint="-0.34998626667073579"/>
        </patternFill>
      </fill>
      <border>
        <left/>
        <right/>
        <top/>
        <bottom/>
      </border>
    </dxf>
    <dxf>
      <fill>
        <patternFill>
          <bgColor theme="5" tint="0.39994506668294322"/>
        </patternFill>
      </fill>
    </dxf>
    <dxf>
      <fill>
        <patternFill>
          <bgColor theme="9" tint="0.39994506668294322"/>
        </patternFill>
      </fill>
    </dxf>
    <dxf>
      <font>
        <color theme="0" tint="-0.499984740745262"/>
      </font>
      <fill>
        <patternFill>
          <bgColor theme="0" tint="-0.34998626667073579"/>
        </patternFill>
      </fill>
      <border>
        <left/>
        <right/>
        <top/>
        <bottom/>
      </border>
    </dxf>
    <dxf>
      <font>
        <color theme="0" tint="-0.499984740745262"/>
      </font>
      <fill>
        <patternFill>
          <bgColor theme="0" tint="-0.34998626667073579"/>
        </patternFill>
      </fill>
      <border>
        <left/>
        <right/>
        <top/>
        <bottom/>
      </border>
    </dxf>
    <dxf>
      <fill>
        <patternFill>
          <bgColor theme="5" tint="0.39994506668294322"/>
        </patternFill>
      </fill>
    </dxf>
    <dxf>
      <fill>
        <patternFill>
          <bgColor theme="9" tint="0.39994506668294322"/>
        </patternFill>
      </fill>
    </dxf>
    <dxf>
      <font>
        <color theme="0" tint="-0.499984740745262"/>
      </font>
      <fill>
        <patternFill>
          <bgColor theme="0" tint="-0.34998626667073579"/>
        </patternFill>
      </fill>
      <border>
        <left/>
        <right/>
        <top/>
        <bottom/>
      </border>
    </dxf>
    <dxf>
      <fill>
        <patternFill>
          <bgColor theme="9" tint="0.39994506668294322"/>
        </patternFill>
      </fill>
    </dxf>
    <dxf>
      <font>
        <color theme="0" tint="-0.499984740745262"/>
      </font>
      <fill>
        <patternFill>
          <bgColor theme="0" tint="-0.34998626667073579"/>
        </patternFill>
      </fill>
      <border>
        <left/>
        <right/>
        <top/>
        <bottom/>
      </border>
    </dxf>
    <dxf>
      <fill>
        <patternFill>
          <bgColor theme="5" tint="0.39994506668294322"/>
        </patternFill>
      </fill>
    </dxf>
    <dxf>
      <font>
        <color theme="0" tint="-0.499984740745262"/>
      </font>
      <fill>
        <patternFill>
          <bgColor theme="0" tint="-0.34998626667073579"/>
        </patternFill>
      </fill>
      <border>
        <left/>
        <right/>
        <top/>
        <bottom/>
      </border>
    </dxf>
    <dxf>
      <font>
        <color theme="0" tint="-0.499984740745262"/>
      </font>
      <fill>
        <patternFill>
          <bgColor theme="0" tint="-0.34998626667073579"/>
        </patternFill>
      </fill>
      <border>
        <left/>
        <right/>
        <top/>
        <bottom/>
      </border>
    </dxf>
    <dxf>
      <fill>
        <patternFill>
          <bgColor theme="9" tint="0.39994506668294322"/>
        </patternFill>
      </fill>
    </dxf>
    <dxf>
      <fill>
        <patternFill>
          <bgColor theme="5" tint="0.39994506668294322"/>
        </patternFill>
      </fill>
    </dxf>
    <dxf>
      <font>
        <color theme="0" tint="-0.499984740745262"/>
      </font>
      <fill>
        <patternFill>
          <bgColor theme="0" tint="-0.34998626667073579"/>
        </patternFill>
      </fill>
      <border>
        <left/>
        <right/>
        <top/>
        <bottom/>
      </border>
    </dxf>
    <dxf>
      <fill>
        <patternFill>
          <bgColor theme="5" tint="0.39994506668294322"/>
        </patternFill>
      </fill>
    </dxf>
    <dxf>
      <fill>
        <patternFill>
          <bgColor theme="9" tint="0.39994506668294322"/>
        </patternFill>
      </fill>
    </dxf>
    <dxf>
      <font>
        <color theme="0" tint="-0.499984740745262"/>
      </font>
      <fill>
        <patternFill>
          <bgColor theme="0" tint="-0.34998626667073579"/>
        </patternFill>
      </fill>
      <border>
        <left/>
        <right/>
        <top/>
        <bottom/>
      </border>
    </dxf>
    <dxf>
      <font>
        <color theme="0" tint="-0.499984740745262"/>
      </font>
      <fill>
        <patternFill>
          <bgColor theme="0" tint="-0.34998626667073579"/>
        </patternFill>
      </fill>
      <border>
        <left/>
        <right/>
        <top/>
        <bottom/>
      </border>
    </dxf>
    <dxf>
      <fill>
        <patternFill>
          <bgColor theme="9" tint="0.39994506668294322"/>
        </patternFill>
      </fill>
    </dxf>
    <dxf>
      <font>
        <color theme="0" tint="-0.499984740745262"/>
      </font>
      <fill>
        <patternFill>
          <bgColor theme="0" tint="-0.34998626667073579"/>
        </patternFill>
      </fill>
      <border>
        <left/>
        <right/>
        <top/>
        <bottom/>
      </border>
    </dxf>
    <dxf>
      <fill>
        <patternFill>
          <bgColor theme="5" tint="0.39994506668294322"/>
        </patternFill>
      </fill>
    </dxf>
    <dxf>
      <font>
        <color theme="0" tint="-0.499984740745262"/>
      </font>
      <fill>
        <patternFill>
          <bgColor theme="0" tint="-0.34998626667073579"/>
        </patternFill>
      </fill>
      <border>
        <left/>
        <right/>
        <top/>
        <bottom/>
      </border>
    </dxf>
    <dxf>
      <fill>
        <patternFill>
          <bgColor theme="9" tint="0.39994506668294322"/>
        </patternFill>
      </fill>
    </dxf>
    <dxf>
      <fill>
        <patternFill>
          <bgColor theme="5" tint="0.39994506668294322"/>
        </patternFill>
      </fill>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border>
    </dxf>
    <dxf>
      <font>
        <color theme="0" tint="-0.499984740745262"/>
      </font>
      <fill>
        <patternFill>
          <bgColor theme="0" tint="-0.34998626667073579"/>
        </patternFill>
      </fill>
      <border>
        <left/>
        <right/>
        <top/>
        <bottom/>
      </border>
    </dxf>
    <dxf>
      <fill>
        <patternFill>
          <bgColor theme="9" tint="0.39994506668294322"/>
        </patternFill>
      </fill>
    </dxf>
    <dxf>
      <fill>
        <patternFill>
          <bgColor theme="5" tint="0.39994506668294322"/>
        </patternFill>
      </fill>
    </dxf>
    <dxf>
      <font>
        <color theme="0" tint="-0.499984740745262"/>
      </font>
      <fill>
        <patternFill>
          <bgColor theme="0" tint="-0.34998626667073579"/>
        </patternFill>
      </fill>
      <border>
        <left/>
        <right/>
        <top/>
        <bottom/>
      </border>
    </dxf>
    <dxf>
      <font>
        <color theme="0" tint="-0.499984740745262"/>
      </font>
      <fill>
        <patternFill>
          <bgColor theme="0" tint="-0.34998626667073579"/>
        </patternFill>
      </fill>
      <border>
        <left/>
        <right/>
        <top/>
        <bottom/>
      </border>
    </dxf>
    <dxf>
      <fill>
        <patternFill>
          <bgColor theme="5" tint="0.39994506668294322"/>
        </patternFill>
      </fill>
    </dxf>
    <dxf>
      <fill>
        <patternFill>
          <bgColor theme="9" tint="0.39994506668294322"/>
        </patternFill>
      </fill>
    </dxf>
    <dxf>
      <font>
        <color theme="0" tint="-0.499984740745262"/>
      </font>
      <fill>
        <patternFill>
          <bgColor theme="0" tint="-0.34998626667073579"/>
        </patternFill>
      </fill>
      <border>
        <left/>
        <right/>
        <top/>
        <bottom/>
      </border>
    </dxf>
    <dxf>
      <fill>
        <patternFill>
          <bgColor theme="9" tint="0.39994506668294322"/>
        </patternFill>
      </fill>
    </dxf>
    <dxf>
      <fill>
        <patternFill>
          <bgColor theme="5" tint="0.39994506668294322"/>
        </patternFill>
      </fill>
    </dxf>
    <dxf>
      <font>
        <color theme="0" tint="-0.499984740745262"/>
      </font>
      <fill>
        <patternFill>
          <bgColor theme="0" tint="-0.34998626667073579"/>
        </patternFill>
      </fill>
      <border>
        <left/>
        <right/>
        <top/>
        <bottom/>
      </border>
    </dxf>
    <dxf>
      <font>
        <color theme="0" tint="-0.499984740745262"/>
      </font>
      <fill>
        <patternFill>
          <bgColor theme="0" tint="-0.34998626667073579"/>
        </patternFill>
      </fill>
      <border>
        <left/>
        <right/>
        <top/>
        <bottom/>
      </border>
    </dxf>
    <dxf>
      <fill>
        <patternFill>
          <bgColor theme="5" tint="0.39994506668294322"/>
        </patternFill>
      </fill>
    </dxf>
    <dxf>
      <fill>
        <patternFill>
          <bgColor theme="9" tint="0.39994506668294322"/>
        </patternFill>
      </fill>
    </dxf>
    <dxf>
      <font>
        <color theme="0" tint="-0.499984740745262"/>
      </font>
      <fill>
        <patternFill>
          <bgColor theme="0" tint="-0.34998626667073579"/>
        </patternFill>
      </fill>
      <border>
        <left/>
        <right/>
        <top/>
        <bottom/>
      </border>
    </dxf>
    <dxf>
      <font>
        <color theme="0" tint="-0.499984740745262"/>
      </font>
      <fill>
        <patternFill>
          <bgColor theme="0" tint="-0.34998626667073579"/>
        </patternFill>
      </fill>
      <border>
        <left/>
        <right/>
        <top/>
        <bottom/>
      </border>
    </dxf>
    <dxf>
      <font>
        <color theme="0" tint="-0.499984740745262"/>
      </font>
      <fill>
        <patternFill>
          <bgColor theme="0" tint="-0.34998626667073579"/>
        </patternFill>
      </fill>
      <border>
        <left/>
        <right/>
        <top/>
        <bottom/>
        <vertical/>
        <horizontal/>
      </border>
    </dxf>
    <dxf>
      <fill>
        <patternFill>
          <bgColor theme="9" tint="0.39994506668294322"/>
        </patternFill>
      </fill>
    </dxf>
    <dxf>
      <fill>
        <patternFill>
          <bgColor theme="5" tint="0.39994506668294322"/>
        </patternFill>
      </fill>
    </dxf>
    <dxf>
      <font>
        <color theme="0" tint="-0.499984740745262"/>
      </font>
      <fill>
        <patternFill>
          <bgColor theme="0" tint="-0.34998626667073579"/>
        </patternFill>
      </fill>
      <border>
        <left/>
        <right/>
        <top/>
        <bottom/>
      </border>
    </dxf>
    <dxf>
      <font>
        <color theme="0" tint="-0.499984740745262"/>
      </font>
      <fill>
        <patternFill>
          <bgColor theme="0" tint="-0.34998626667073579"/>
        </patternFill>
      </fill>
      <border>
        <left/>
        <right/>
        <top/>
        <bottom/>
      </border>
    </dxf>
    <dxf>
      <fill>
        <patternFill>
          <bgColor theme="5" tint="0.39994506668294322"/>
        </patternFill>
      </fill>
    </dxf>
    <dxf>
      <fill>
        <patternFill>
          <bgColor theme="9" tint="0.39994506668294322"/>
        </patternFill>
      </fill>
    </dxf>
    <dxf>
      <font>
        <color theme="0" tint="-0.499984740745262"/>
      </font>
      <fill>
        <patternFill>
          <bgColor theme="0" tint="-0.34998626667073579"/>
        </patternFill>
      </fill>
      <border>
        <left/>
        <right/>
        <top/>
        <bottom/>
      </border>
    </dxf>
    <dxf>
      <fill>
        <patternFill>
          <bgColor theme="9" tint="0.39994506668294322"/>
        </patternFill>
      </fill>
    </dxf>
    <dxf>
      <fill>
        <patternFill>
          <bgColor theme="5" tint="0.39994506668294322"/>
        </patternFill>
      </fill>
    </dxf>
    <dxf>
      <font>
        <color theme="0" tint="-0.499984740745262"/>
      </font>
      <fill>
        <patternFill>
          <bgColor theme="0" tint="-0.34998626667073579"/>
        </patternFill>
      </fill>
      <border>
        <left/>
        <right/>
        <top/>
        <bottom/>
      </border>
    </dxf>
    <dxf>
      <fill>
        <patternFill>
          <bgColor theme="5" tint="0.39994506668294322"/>
        </patternFill>
      </fill>
    </dxf>
    <dxf>
      <fill>
        <patternFill>
          <bgColor theme="9" tint="0.39994506668294322"/>
        </patternFill>
      </fill>
    </dxf>
    <dxf>
      <font>
        <color theme="0" tint="-0.499984740745262"/>
      </font>
      <fill>
        <patternFill>
          <bgColor theme="0" tint="-0.34998626667073579"/>
        </patternFill>
      </fill>
      <border>
        <left/>
        <right/>
        <top/>
        <bottom/>
      </border>
    </dxf>
    <dxf>
      <fill>
        <patternFill>
          <bgColor theme="5" tint="0.39994506668294322"/>
        </patternFill>
      </fill>
    </dxf>
    <dxf>
      <fill>
        <patternFill>
          <bgColor theme="9" tint="0.39994506668294322"/>
        </patternFill>
      </fill>
    </dxf>
    <dxf>
      <font>
        <color theme="0" tint="-0.499984740745262"/>
      </font>
      <fill>
        <patternFill>
          <bgColor theme="0" tint="-0.34998626667073579"/>
        </patternFill>
      </fill>
      <border>
        <left/>
        <right/>
        <top/>
        <bottom/>
      </border>
    </dxf>
    <dxf>
      <fill>
        <patternFill>
          <bgColor theme="9" tint="0.39994506668294322"/>
        </patternFill>
      </fill>
    </dxf>
    <dxf>
      <fill>
        <patternFill>
          <bgColor theme="5" tint="0.39994506668294322"/>
        </patternFill>
      </fill>
    </dxf>
    <dxf>
      <font>
        <color theme="0" tint="-0.499984740745262"/>
      </font>
      <fill>
        <patternFill>
          <bgColor theme="0" tint="-0.34998626667073579"/>
        </patternFill>
      </fill>
      <border>
        <left/>
        <right/>
        <top/>
        <bottom/>
      </border>
    </dxf>
    <dxf>
      <fill>
        <patternFill>
          <bgColor theme="5" tint="0.39994506668294322"/>
        </patternFill>
      </fill>
    </dxf>
    <dxf>
      <fill>
        <patternFill>
          <bgColor theme="9" tint="0.39994506668294322"/>
        </patternFill>
      </fill>
    </dxf>
    <dxf>
      <font>
        <color theme="0" tint="-0.499984740745262"/>
      </font>
      <fill>
        <patternFill>
          <bgColor theme="0" tint="-0.34998626667073579"/>
        </patternFill>
      </fill>
      <border>
        <left/>
        <right/>
        <top/>
        <bottom/>
      </border>
    </dxf>
    <dxf>
      <fill>
        <patternFill>
          <bgColor theme="9" tint="0.39994506668294322"/>
        </patternFill>
      </fill>
    </dxf>
    <dxf>
      <fill>
        <patternFill>
          <bgColor theme="5" tint="0.39994506668294322"/>
        </patternFill>
      </fill>
    </dxf>
    <dxf>
      <font>
        <color theme="0" tint="-0.499984740745262"/>
      </font>
      <fill>
        <patternFill>
          <bgColor theme="0" tint="-0.34998626667073579"/>
        </patternFill>
      </fill>
      <border>
        <left/>
        <right/>
        <top/>
        <bottom/>
      </border>
    </dxf>
    <dxf>
      <fill>
        <patternFill>
          <bgColor theme="9" tint="0.39994506668294322"/>
        </patternFill>
      </fill>
    </dxf>
    <dxf>
      <fill>
        <patternFill>
          <bgColor theme="5" tint="0.39994506668294322"/>
        </patternFill>
      </fill>
    </dxf>
    <dxf>
      <font>
        <color theme="0" tint="-0.499984740745262"/>
      </font>
      <fill>
        <patternFill>
          <bgColor theme="0" tint="-0.34998626667073579"/>
        </patternFill>
      </fill>
      <border>
        <left/>
        <right/>
        <top/>
        <bottom/>
      </border>
    </dxf>
    <dxf>
      <fill>
        <patternFill>
          <bgColor theme="9" tint="0.39994506668294322"/>
        </patternFill>
      </fill>
    </dxf>
    <dxf>
      <fill>
        <patternFill>
          <bgColor theme="5" tint="0.39994506668294322"/>
        </patternFill>
      </fill>
    </dxf>
    <dxf>
      <font>
        <color theme="0" tint="-0.499984740745262"/>
      </font>
      <fill>
        <patternFill>
          <bgColor theme="0" tint="-0.34998626667073579"/>
        </patternFill>
      </fill>
      <border>
        <left/>
        <right/>
        <top/>
        <bottom/>
      </border>
    </dxf>
    <dxf>
      <fill>
        <patternFill>
          <bgColor theme="9" tint="0.39994506668294322"/>
        </patternFill>
      </fill>
    </dxf>
    <dxf>
      <fill>
        <patternFill>
          <bgColor theme="5" tint="0.39994506668294322"/>
        </patternFill>
      </fill>
    </dxf>
    <dxf>
      <font>
        <color theme="0" tint="-0.499984740745262"/>
      </font>
      <fill>
        <patternFill>
          <bgColor theme="0" tint="-0.34998626667073579"/>
        </patternFill>
      </fill>
      <border>
        <left/>
        <right/>
        <top/>
        <bottom/>
      </border>
    </dxf>
    <dxf>
      <fill>
        <patternFill>
          <bgColor theme="5" tint="0.39994506668294322"/>
        </patternFill>
      </fill>
    </dxf>
    <dxf>
      <fill>
        <patternFill>
          <bgColor theme="9" tint="0.39994506668294322"/>
        </patternFill>
      </fill>
    </dxf>
    <dxf>
      <font>
        <color theme="0" tint="-0.499984740745262"/>
      </font>
      <fill>
        <patternFill>
          <bgColor theme="0" tint="-0.34998626667073579"/>
        </patternFill>
      </fill>
      <border>
        <left/>
        <right/>
        <top/>
        <bottom/>
      </border>
    </dxf>
    <dxf>
      <fill>
        <patternFill>
          <bgColor theme="9" tint="0.39994506668294322"/>
        </patternFill>
      </fill>
    </dxf>
    <dxf>
      <fill>
        <patternFill>
          <bgColor theme="5" tint="0.39994506668294322"/>
        </patternFill>
      </fill>
    </dxf>
    <dxf>
      <font>
        <color theme="0" tint="-0.499984740745262"/>
      </font>
      <fill>
        <patternFill>
          <bgColor theme="0" tint="-0.34998626667073579"/>
        </patternFill>
      </fill>
      <border>
        <left/>
        <right/>
        <top/>
        <bottom/>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vertical/>
        <horizontal/>
      </border>
    </dxf>
    <dxf>
      <font>
        <color theme="0" tint="-0.499984740745262"/>
      </font>
      <fill>
        <patternFill>
          <bgColor theme="0" tint="-0.34998626667073579"/>
        </patternFill>
      </fill>
      <border>
        <left/>
        <right/>
        <top/>
        <bottom/>
      </border>
    </dxf>
    <dxf>
      <font>
        <color theme="0" tint="-0.499984740745262"/>
      </font>
      <fill>
        <patternFill>
          <bgColor theme="0" tint="-0.34998626667073579"/>
        </patternFill>
      </fill>
      <border>
        <left/>
        <right/>
        <top/>
        <bottom/>
      </border>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5" tint="-0.24994659260841701"/>
      </font>
    </dxf>
    <dxf>
      <font>
        <color theme="0" tint="-0.499984740745262"/>
      </font>
    </dxf>
    <dxf>
      <font>
        <color theme="5" tint="-0.24994659260841701"/>
      </font>
    </dxf>
    <dxf>
      <font>
        <color theme="5" tint="-0.24994659260841701"/>
      </font>
    </dxf>
    <dxf>
      <font>
        <color theme="5" tint="-0.24994659260841701"/>
      </font>
    </dxf>
    <dxf>
      <font>
        <color theme="5" tint="-0.24994659260841701"/>
      </font>
    </dxf>
    <dxf>
      <font>
        <color theme="0" tint="-0.499984740745262"/>
      </font>
    </dxf>
    <dxf>
      <font>
        <color theme="0" tint="-0.499984740745262"/>
      </font>
    </dxf>
    <dxf>
      <font>
        <color theme="0" tint="-0.499984740745262"/>
      </font>
    </dxf>
    <dxf>
      <font>
        <color theme="0" tint="-0.499984740745262"/>
      </font>
    </dxf>
    <dxf>
      <font>
        <color theme="0" tint="-0.24994659260841701"/>
      </font>
    </dxf>
    <dxf>
      <font>
        <color theme="0" tint="-0.499984740745262"/>
      </font>
    </dxf>
    <dxf>
      <font>
        <color theme="0" tint="-0.24994659260841701"/>
      </font>
    </dxf>
    <dxf>
      <font>
        <color theme="0" tint="-0.499984740745262"/>
      </font>
    </dxf>
    <dxf>
      <font>
        <color theme="0" tint="-0.24994659260841701"/>
      </font>
    </dxf>
    <dxf>
      <font>
        <color theme="0" tint="-0.24994659260841701"/>
      </font>
    </dxf>
    <dxf>
      <font>
        <color theme="5" tint="-0.24994659260841701"/>
      </font>
    </dxf>
    <dxf>
      <font>
        <color theme="5" tint="-0.24994659260841701"/>
      </font>
    </dxf>
    <dxf>
      <font>
        <color theme="5" tint="-0.24994659260841701"/>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5DC5FF"/>
      <color rgb="FF9999FF"/>
      <color rgb="FF00A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checked="Checked" firstButton="1" fmlaLink="$J$43"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checked="Checked" firstButton="1" fmlaLink="$I$13"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checked="Checked" firstButton="1" fmlaLink="$I$18"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checked="Checked" firstButton="1" fmlaLink="$I$28"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30.xml><?xml version="1.0" encoding="utf-8"?>
<formControlPr xmlns="http://schemas.microsoft.com/office/spreadsheetml/2009/9/main" objectType="Radio" checked="Checked" firstButton="1" fmlaLink="$I$23"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checked="Checked" firstButton="1" fmlaLink="$I$8"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checked="Checked" firstButton="1" fmlaLink="$I$3"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checked="Checked" firstButton="1" fmlaLink="$I$3"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I$18"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checked="Checked" firstButton="1" fmlaLink="$I$8"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checked="Checked" firstButton="1" fmlaLink="$I$13"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checked="Checked" firstButton="1" fmlaLink="$I$23"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Radio" checked="Checked" firstButton="1" fmlaLink="$I$18"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checked="Checked" firstButton="1" fmlaLink="$J$3"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Radio" checked="Checked" firstButton="1" fmlaLink="$J$8"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Radio" checked="Checked" firstButton="1" fmlaLink="$J$13"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Radio" checked="Checked" firstButton="1" fmlaLink="$J$18"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fmlaLink="$I$3" lockText="1"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Radio" checked="Checked" firstButton="1" fmlaLink="$I$3"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checked="Checked" firstButton="1" fmlaLink="$I$23"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checked="Checked" firstButton="1" fmlaLink="$I$28"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checked="Checked" firstButton="1" fmlaLink="$I$8"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checked="Checked" firstButton="1" fmlaLink="$J$3"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checked="Checked" firstButton="1" fmlaLink="$J$28"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checked="Checked" firstButton="1" fmlaLink="$J$38"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checked="Checked" firstButton="1" fmlaLink="$J$53"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checked="Checked" firstButton="1" fmlaLink="$J$48"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checked="Checked" firstButton="1" fmlaLink="$J$58"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checked="Checked" firstButton="1" fmlaLink="$J$13"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checked="Checked" firstButton="1" fmlaLink="$J$33"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checked="Checked" firstButton="1" fmlaLink="$J$8"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firstButton="1" fmlaLink="$I$13"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checked="Checked" firstButton="1" fmlaLink="$J$18"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Radio" checked="Checked" firstButton="1" fmlaLink="$J$23"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xdr:row>
      <xdr:rowOff>93260</xdr:rowOff>
    </xdr:from>
    <xdr:to>
      <xdr:col>1</xdr:col>
      <xdr:colOff>1131378</xdr:colOff>
      <xdr:row>1</xdr:row>
      <xdr:rowOff>1139335</xdr:rowOff>
    </xdr:to>
    <xdr:pic>
      <xdr:nvPicPr>
        <xdr:cNvPr id="2" name="Grafik 1">
          <a:extLst>
            <a:ext uri="{FF2B5EF4-FFF2-40B4-BE49-F238E27FC236}">
              <a16:creationId xmlns:a16="http://schemas.microsoft.com/office/drawing/2014/main" id="{4DACBF9D-3CC4-4D71-ABD4-9150F89075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 y="569510"/>
          <a:ext cx="1102803" cy="1046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1137481</xdr:colOff>
      <xdr:row>1</xdr:row>
      <xdr:rowOff>219808</xdr:rowOff>
    </xdr:from>
    <xdr:to>
      <xdr:col>1</xdr:col>
      <xdr:colOff>6495574</xdr:colOff>
      <xdr:row>1</xdr:row>
      <xdr:rowOff>1029433</xdr:rowOff>
    </xdr:to>
    <xdr:sp macro="" textlink="">
      <xdr:nvSpPr>
        <xdr:cNvPr id="3" name="Textfeld 2">
          <a:extLst>
            <a:ext uri="{FF2B5EF4-FFF2-40B4-BE49-F238E27FC236}">
              <a16:creationId xmlns:a16="http://schemas.microsoft.com/office/drawing/2014/main" id="{5F8D90A2-47A4-49F9-8CC3-4DFDF1481057}"/>
            </a:ext>
          </a:extLst>
        </xdr:cNvPr>
        <xdr:cNvSpPr txBox="1"/>
      </xdr:nvSpPr>
      <xdr:spPr>
        <a:xfrm>
          <a:off x="1899481" y="696058"/>
          <a:ext cx="5358093"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a:latin typeface="Arial" panose="020B0604020202020204" pitchFamily="34" charset="0"/>
              <a:cs typeface="Arial" panose="020B0604020202020204" pitchFamily="34" charset="0"/>
            </a:rPr>
            <a:t>Kanton Zürich</a:t>
          </a:r>
        </a:p>
        <a:p>
          <a:r>
            <a:rPr lang="de-CH" sz="1000">
              <a:latin typeface="Arial" panose="020B0604020202020204" pitchFamily="34" charset="0"/>
              <a:cs typeface="Arial" panose="020B0604020202020204" pitchFamily="34" charset="0"/>
            </a:rPr>
            <a:t>Baudirektion</a:t>
          </a:r>
        </a:p>
        <a:p>
          <a:r>
            <a:rPr lang="de-CH" sz="1000" b="1">
              <a:latin typeface="Arial" panose="020B0604020202020204" pitchFamily="34" charset="0"/>
              <a:cs typeface="Arial" panose="020B0604020202020204" pitchFamily="34" charset="0"/>
            </a:rPr>
            <a:t>Amt</a:t>
          </a:r>
          <a:r>
            <a:rPr lang="de-CH" sz="1000" b="1" baseline="0">
              <a:latin typeface="Arial" panose="020B0604020202020204" pitchFamily="34" charset="0"/>
              <a:cs typeface="Arial" panose="020B0604020202020204" pitchFamily="34" charset="0"/>
            </a:rPr>
            <a:t> für Abfall, Wasser, Energie und Luft</a:t>
          </a:r>
        </a:p>
        <a:p>
          <a:r>
            <a:rPr lang="de-CH" sz="1000" baseline="0">
              <a:latin typeface="Arial" panose="020B0604020202020204" pitchFamily="34" charset="0"/>
              <a:cs typeface="Arial" panose="020B0604020202020204" pitchFamily="34" charset="0"/>
            </a:rPr>
            <a:t>Luft, Klima und Strahlung</a:t>
          </a:r>
        </a:p>
        <a:p>
          <a:endParaRPr lang="de-CH" sz="700" baseline="0">
            <a:latin typeface="Arial" panose="020B0604020202020204" pitchFamily="34" charset="0"/>
            <a:cs typeface="Arial" panose="020B0604020202020204" pitchFamily="34" charset="0"/>
          </a:endParaRPr>
        </a:p>
        <a:p>
          <a:endParaRPr lang="de-CH" sz="700" baseline="0">
            <a:latin typeface="Arial" panose="020B0604020202020204" pitchFamily="34" charset="0"/>
            <a:cs typeface="Arial" panose="020B0604020202020204" pitchFamily="34" charset="0"/>
          </a:endParaRPr>
        </a:p>
      </xdr:txBody>
    </xdr:sp>
    <xdr:clientData/>
  </xdr:twoCellAnchor>
  <xdr:twoCellAnchor editAs="oneCell">
    <xdr:from>
      <xdr:col>1</xdr:col>
      <xdr:colOff>9525</xdr:colOff>
      <xdr:row>30</xdr:row>
      <xdr:rowOff>47625</xdr:rowOff>
    </xdr:from>
    <xdr:to>
      <xdr:col>1</xdr:col>
      <xdr:colOff>7740650</xdr:colOff>
      <xdr:row>36</xdr:row>
      <xdr:rowOff>95838</xdr:rowOff>
    </xdr:to>
    <xdr:pic>
      <xdr:nvPicPr>
        <xdr:cNvPr id="6" name="Grafik 5">
          <a:extLst>
            <a:ext uri="{FF2B5EF4-FFF2-40B4-BE49-F238E27FC236}">
              <a16:creationId xmlns:a16="http://schemas.microsoft.com/office/drawing/2014/main" id="{48FCDD5F-B2BE-05A2-1B81-E089599ECE62}"/>
            </a:ext>
          </a:extLst>
        </xdr:cNvPr>
        <xdr:cNvPicPr>
          <a:picLocks noChangeAspect="1"/>
        </xdr:cNvPicPr>
      </xdr:nvPicPr>
      <xdr:blipFill>
        <a:blip xmlns:r="http://schemas.openxmlformats.org/officeDocument/2006/relationships" r:embed="rId2"/>
        <a:stretch>
          <a:fillRect/>
        </a:stretch>
      </xdr:blipFill>
      <xdr:spPr>
        <a:xfrm>
          <a:off x="771525" y="10953750"/>
          <a:ext cx="7724775" cy="11340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xdr:row>
          <xdr:rowOff>9525</xdr:rowOff>
        </xdr:from>
        <xdr:to>
          <xdr:col>7</xdr:col>
          <xdr:colOff>38100</xdr:colOff>
          <xdr:row>6</xdr:row>
          <xdr:rowOff>238125</xdr:rowOff>
        </xdr:to>
        <xdr:sp macro="" textlink="">
          <xdr:nvSpPr>
            <xdr:cNvPr id="9217" name="Group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xdr:row>
          <xdr:rowOff>38100</xdr:rowOff>
        </xdr:from>
        <xdr:to>
          <xdr:col>6</xdr:col>
          <xdr:colOff>457200</xdr:colOff>
          <xdr:row>2</xdr:row>
          <xdr:rowOff>295275</xdr:rowOff>
        </xdr:to>
        <xdr:sp macro="" textlink="">
          <xdr:nvSpPr>
            <xdr:cNvPr id="9218" name="Option Button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xdr:row>
          <xdr:rowOff>28575</xdr:rowOff>
        </xdr:from>
        <xdr:to>
          <xdr:col>7</xdr:col>
          <xdr:colOff>0</xdr:colOff>
          <xdr:row>3</xdr:row>
          <xdr:rowOff>257175</xdr:rowOff>
        </xdr:to>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xdr:row>
          <xdr:rowOff>38100</xdr:rowOff>
        </xdr:from>
        <xdr:to>
          <xdr:col>6</xdr:col>
          <xdr:colOff>390525</xdr:colOff>
          <xdr:row>4</xdr:row>
          <xdr:rowOff>257175</xdr:rowOff>
        </xdr:to>
        <xdr:sp macro="" textlink="">
          <xdr:nvSpPr>
            <xdr:cNvPr id="9220" name="Option Button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xdr:row>
          <xdr:rowOff>28575</xdr:rowOff>
        </xdr:from>
        <xdr:to>
          <xdr:col>7</xdr:col>
          <xdr:colOff>28575</xdr:colOff>
          <xdr:row>5</xdr:row>
          <xdr:rowOff>257175</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xdr:row>
          <xdr:rowOff>9525</xdr:rowOff>
        </xdr:from>
        <xdr:to>
          <xdr:col>6</xdr:col>
          <xdr:colOff>381000</xdr:colOff>
          <xdr:row>6</xdr:row>
          <xdr:rowOff>238125</xdr:rowOff>
        </xdr:to>
        <xdr:sp macro="" textlink="">
          <xdr:nvSpPr>
            <xdr:cNvPr id="9222" name="Option Button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7</xdr:col>
          <xdr:colOff>38100</xdr:colOff>
          <xdr:row>12</xdr:row>
          <xdr:rowOff>9525</xdr:rowOff>
        </xdr:to>
        <xdr:sp macro="" textlink="">
          <xdr:nvSpPr>
            <xdr:cNvPr id="9223" name="Group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361950</xdr:rowOff>
        </xdr:from>
        <xdr:to>
          <xdr:col>7</xdr:col>
          <xdr:colOff>38100</xdr:colOff>
          <xdr:row>17</xdr:row>
          <xdr:rowOff>9525</xdr:rowOff>
        </xdr:to>
        <xdr:sp macro="" textlink="">
          <xdr:nvSpPr>
            <xdr:cNvPr id="9229" name="Group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12</xdr:row>
          <xdr:rowOff>9525</xdr:rowOff>
        </xdr:from>
        <xdr:to>
          <xdr:col>6</xdr:col>
          <xdr:colOff>447675</xdr:colOff>
          <xdr:row>12</xdr:row>
          <xdr:rowOff>295275</xdr:rowOff>
        </xdr:to>
        <xdr:sp macro="" textlink="">
          <xdr:nvSpPr>
            <xdr:cNvPr id="9230" name="Option Button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9525</xdr:rowOff>
        </xdr:from>
        <xdr:to>
          <xdr:col>7</xdr:col>
          <xdr:colOff>0</xdr:colOff>
          <xdr:row>14</xdr:row>
          <xdr:rowOff>9525</xdr:rowOff>
        </xdr:to>
        <xdr:sp macro="" textlink="">
          <xdr:nvSpPr>
            <xdr:cNvPr id="9231" name="Option Button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xdr:row>
          <xdr:rowOff>28575</xdr:rowOff>
        </xdr:from>
        <xdr:to>
          <xdr:col>6</xdr:col>
          <xdr:colOff>447675</xdr:colOff>
          <xdr:row>14</xdr:row>
          <xdr:rowOff>257175</xdr:rowOff>
        </xdr:to>
        <xdr:sp macro="" textlink="">
          <xdr:nvSpPr>
            <xdr:cNvPr id="9232" name="Option Button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15</xdr:row>
          <xdr:rowOff>38100</xdr:rowOff>
        </xdr:from>
        <xdr:to>
          <xdr:col>6</xdr:col>
          <xdr:colOff>447675</xdr:colOff>
          <xdr:row>15</xdr:row>
          <xdr:rowOff>266700</xdr:rowOff>
        </xdr:to>
        <xdr:sp macro="" textlink="">
          <xdr:nvSpPr>
            <xdr:cNvPr id="9233" name="Option Button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16</xdr:row>
          <xdr:rowOff>28575</xdr:rowOff>
        </xdr:from>
        <xdr:to>
          <xdr:col>6</xdr:col>
          <xdr:colOff>409575</xdr:colOff>
          <xdr:row>16</xdr:row>
          <xdr:rowOff>257175</xdr:rowOff>
        </xdr:to>
        <xdr:sp macro="" textlink="">
          <xdr:nvSpPr>
            <xdr:cNvPr id="9234" name="Option Button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7</xdr:col>
          <xdr:colOff>38100</xdr:colOff>
          <xdr:row>22</xdr:row>
          <xdr:rowOff>9525</xdr:rowOff>
        </xdr:to>
        <xdr:sp macro="" textlink="">
          <xdr:nvSpPr>
            <xdr:cNvPr id="9235" name="Group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17</xdr:row>
          <xdr:rowOff>76200</xdr:rowOff>
        </xdr:from>
        <xdr:to>
          <xdr:col>6</xdr:col>
          <xdr:colOff>447675</xdr:colOff>
          <xdr:row>17</xdr:row>
          <xdr:rowOff>333375</xdr:rowOff>
        </xdr:to>
        <xdr:sp macro="" textlink="">
          <xdr:nvSpPr>
            <xdr:cNvPr id="9236" name="Option Button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18</xdr:row>
          <xdr:rowOff>0</xdr:rowOff>
        </xdr:from>
        <xdr:to>
          <xdr:col>6</xdr:col>
          <xdr:colOff>428625</xdr:colOff>
          <xdr:row>18</xdr:row>
          <xdr:rowOff>276225</xdr:rowOff>
        </xdr:to>
        <xdr:sp macro="" textlink="">
          <xdr:nvSpPr>
            <xdr:cNvPr id="9237" name="Option Button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19</xdr:row>
          <xdr:rowOff>28575</xdr:rowOff>
        </xdr:from>
        <xdr:to>
          <xdr:col>6</xdr:col>
          <xdr:colOff>447675</xdr:colOff>
          <xdr:row>19</xdr:row>
          <xdr:rowOff>266700</xdr:rowOff>
        </xdr:to>
        <xdr:sp macro="" textlink="">
          <xdr:nvSpPr>
            <xdr:cNvPr id="9238" name="Option Button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20</xdr:row>
          <xdr:rowOff>38100</xdr:rowOff>
        </xdr:from>
        <xdr:to>
          <xdr:col>6</xdr:col>
          <xdr:colOff>447675</xdr:colOff>
          <xdr:row>20</xdr:row>
          <xdr:rowOff>257175</xdr:rowOff>
        </xdr:to>
        <xdr:sp macro="" textlink="">
          <xdr:nvSpPr>
            <xdr:cNvPr id="9239" name="Option Button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21</xdr:row>
          <xdr:rowOff>28575</xdr:rowOff>
        </xdr:from>
        <xdr:to>
          <xdr:col>6</xdr:col>
          <xdr:colOff>447675</xdr:colOff>
          <xdr:row>21</xdr:row>
          <xdr:rowOff>257175</xdr:rowOff>
        </xdr:to>
        <xdr:sp macro="" textlink="">
          <xdr:nvSpPr>
            <xdr:cNvPr id="9240" name="Option Button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7</xdr:col>
          <xdr:colOff>28575</xdr:colOff>
          <xdr:row>27</xdr:row>
          <xdr:rowOff>0</xdr:rowOff>
        </xdr:to>
        <xdr:sp macro="" textlink="">
          <xdr:nvSpPr>
            <xdr:cNvPr id="9241" name="Group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22</xdr:row>
          <xdr:rowOff>66675</xdr:rowOff>
        </xdr:from>
        <xdr:to>
          <xdr:col>6</xdr:col>
          <xdr:colOff>447675</xdr:colOff>
          <xdr:row>22</xdr:row>
          <xdr:rowOff>295275</xdr:rowOff>
        </xdr:to>
        <xdr:sp macro="" textlink="">
          <xdr:nvSpPr>
            <xdr:cNvPr id="9242" name="Option Button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23</xdr:row>
          <xdr:rowOff>28575</xdr:rowOff>
        </xdr:from>
        <xdr:to>
          <xdr:col>6</xdr:col>
          <xdr:colOff>447675</xdr:colOff>
          <xdr:row>23</xdr:row>
          <xdr:rowOff>257175</xdr:rowOff>
        </xdr:to>
        <xdr:sp macro="" textlink="">
          <xdr:nvSpPr>
            <xdr:cNvPr id="9243" name="Option Button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24</xdr:row>
          <xdr:rowOff>47625</xdr:rowOff>
        </xdr:from>
        <xdr:to>
          <xdr:col>6</xdr:col>
          <xdr:colOff>381000</xdr:colOff>
          <xdr:row>24</xdr:row>
          <xdr:rowOff>257175</xdr:rowOff>
        </xdr:to>
        <xdr:sp macro="" textlink="">
          <xdr:nvSpPr>
            <xdr:cNvPr id="9244" name="Option Button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25</xdr:row>
          <xdr:rowOff>28575</xdr:rowOff>
        </xdr:from>
        <xdr:to>
          <xdr:col>6</xdr:col>
          <xdr:colOff>371475</xdr:colOff>
          <xdr:row>25</xdr:row>
          <xdr:rowOff>266700</xdr:rowOff>
        </xdr:to>
        <xdr:sp macro="" textlink="">
          <xdr:nvSpPr>
            <xdr:cNvPr id="9245" name="Option Button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26</xdr:row>
          <xdr:rowOff>28575</xdr:rowOff>
        </xdr:from>
        <xdr:to>
          <xdr:col>6</xdr:col>
          <xdr:colOff>447675</xdr:colOff>
          <xdr:row>26</xdr:row>
          <xdr:rowOff>238125</xdr:rowOff>
        </xdr:to>
        <xdr:sp macro="" textlink="">
          <xdr:nvSpPr>
            <xdr:cNvPr id="9246" name="Option Button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352425</xdr:rowOff>
        </xdr:from>
        <xdr:to>
          <xdr:col>7</xdr:col>
          <xdr:colOff>28575</xdr:colOff>
          <xdr:row>31</xdr:row>
          <xdr:rowOff>342900</xdr:rowOff>
        </xdr:to>
        <xdr:sp macro="" textlink="">
          <xdr:nvSpPr>
            <xdr:cNvPr id="9247" name="Group Box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27</xdr:row>
          <xdr:rowOff>85725</xdr:rowOff>
        </xdr:from>
        <xdr:to>
          <xdr:col>6</xdr:col>
          <xdr:colOff>447675</xdr:colOff>
          <xdr:row>27</xdr:row>
          <xdr:rowOff>333375</xdr:rowOff>
        </xdr:to>
        <xdr:sp macro="" textlink="">
          <xdr:nvSpPr>
            <xdr:cNvPr id="9248" name="Option Button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28</xdr:row>
          <xdr:rowOff>161925</xdr:rowOff>
        </xdr:from>
        <xdr:to>
          <xdr:col>6</xdr:col>
          <xdr:colOff>447675</xdr:colOff>
          <xdr:row>28</xdr:row>
          <xdr:rowOff>381000</xdr:rowOff>
        </xdr:to>
        <xdr:sp macro="" textlink="">
          <xdr:nvSpPr>
            <xdr:cNvPr id="9249" name="Option Button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29</xdr:row>
          <xdr:rowOff>9525</xdr:rowOff>
        </xdr:from>
        <xdr:to>
          <xdr:col>6</xdr:col>
          <xdr:colOff>447675</xdr:colOff>
          <xdr:row>29</xdr:row>
          <xdr:rowOff>276225</xdr:rowOff>
        </xdr:to>
        <xdr:sp macro="" textlink="">
          <xdr:nvSpPr>
            <xdr:cNvPr id="9250" name="Option Button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30</xdr:row>
          <xdr:rowOff>38100</xdr:rowOff>
        </xdr:from>
        <xdr:to>
          <xdr:col>6</xdr:col>
          <xdr:colOff>447675</xdr:colOff>
          <xdr:row>30</xdr:row>
          <xdr:rowOff>257175</xdr:rowOff>
        </xdr:to>
        <xdr:sp macro="" textlink="">
          <xdr:nvSpPr>
            <xdr:cNvPr id="9251" name="Option Button 35" hidden="1">
              <a:extLst>
                <a:ext uri="{63B3BB69-23CF-44E3-9099-C40C66FF867C}">
                  <a14:compatExt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31</xdr:row>
          <xdr:rowOff>47625</xdr:rowOff>
        </xdr:from>
        <xdr:to>
          <xdr:col>6</xdr:col>
          <xdr:colOff>390525</xdr:colOff>
          <xdr:row>31</xdr:row>
          <xdr:rowOff>342900</xdr:rowOff>
        </xdr:to>
        <xdr:sp macro="" textlink="">
          <xdr:nvSpPr>
            <xdr:cNvPr id="9273" name="Option Button 57" hidden="1">
              <a:extLst>
                <a:ext uri="{63B3BB69-23CF-44E3-9099-C40C66FF867C}">
                  <a14:compatExt spid="_x0000_s9273"/>
                </a:ext>
                <a:ext uri="{FF2B5EF4-FFF2-40B4-BE49-F238E27FC236}">
                  <a16:creationId xmlns:a16="http://schemas.microsoft.com/office/drawing/2014/main" id="{00000000-0008-0000-0300-00003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xdr:row>
          <xdr:rowOff>47625</xdr:rowOff>
        </xdr:from>
        <xdr:to>
          <xdr:col>7</xdr:col>
          <xdr:colOff>200025</xdr:colOff>
          <xdr:row>7</xdr:row>
          <xdr:rowOff>323850</xdr:rowOff>
        </xdr:to>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3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xdr:row>
          <xdr:rowOff>28575</xdr:rowOff>
        </xdr:from>
        <xdr:to>
          <xdr:col>7</xdr:col>
          <xdr:colOff>200025</xdr:colOff>
          <xdr:row>9</xdr:row>
          <xdr:rowOff>28575</xdr:rowOff>
        </xdr:to>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3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9</xdr:row>
          <xdr:rowOff>57150</xdr:rowOff>
        </xdr:from>
        <xdr:to>
          <xdr:col>7</xdr:col>
          <xdr:colOff>190500</xdr:colOff>
          <xdr:row>9</xdr:row>
          <xdr:rowOff>333375</xdr:rowOff>
        </xdr:to>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3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xdr:row>
          <xdr:rowOff>19050</xdr:rowOff>
        </xdr:from>
        <xdr:to>
          <xdr:col>7</xdr:col>
          <xdr:colOff>200025</xdr:colOff>
          <xdr:row>11</xdr:row>
          <xdr:rowOff>0</xdr:rowOff>
        </xdr:to>
        <xdr:sp macro="" textlink="">
          <xdr:nvSpPr>
            <xdr:cNvPr id="9278" name="Option Button 62" hidden="1">
              <a:extLst>
                <a:ext uri="{63B3BB69-23CF-44E3-9099-C40C66FF867C}">
                  <a14:compatExt spid="_x0000_s9278"/>
                </a:ext>
                <a:ext uri="{FF2B5EF4-FFF2-40B4-BE49-F238E27FC236}">
                  <a16:creationId xmlns:a16="http://schemas.microsoft.com/office/drawing/2014/main" id="{00000000-0008-0000-03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xdr:row>
          <xdr:rowOff>28575</xdr:rowOff>
        </xdr:from>
        <xdr:to>
          <xdr:col>7</xdr:col>
          <xdr:colOff>200025</xdr:colOff>
          <xdr:row>11</xdr:row>
          <xdr:rowOff>314325</xdr:rowOff>
        </xdr:to>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3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xdr:row>
          <xdr:rowOff>9525</xdr:rowOff>
        </xdr:from>
        <xdr:to>
          <xdr:col>7</xdr:col>
          <xdr:colOff>38100</xdr:colOff>
          <xdr:row>6</xdr:row>
          <xdr:rowOff>257175</xdr:rowOff>
        </xdr:to>
        <xdr:sp macro="" textlink="">
          <xdr:nvSpPr>
            <xdr:cNvPr id="1026" name="Group Box 2" hidden="1">
              <a:extLst>
                <a:ext uri="{63B3BB69-23CF-44E3-9099-C40C66FF867C}">
                  <a14:compatExt spid="_x0000_s1026"/>
                </a:ext>
                <a:ext uri="{FF2B5EF4-FFF2-40B4-BE49-F238E27FC236}">
                  <a16:creationId xmlns:a16="http://schemas.microsoft.com/office/drawing/2014/main" id="{00000000-0008-0000-0400-00000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xdr:row>
          <xdr:rowOff>38100</xdr:rowOff>
        </xdr:from>
        <xdr:to>
          <xdr:col>6</xdr:col>
          <xdr:colOff>457200</xdr:colOff>
          <xdr:row>2</xdr:row>
          <xdr:rowOff>295275</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4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xdr:row>
          <xdr:rowOff>28575</xdr:rowOff>
        </xdr:from>
        <xdr:to>
          <xdr:col>7</xdr:col>
          <xdr:colOff>0</xdr:colOff>
          <xdr:row>3</xdr:row>
          <xdr:rowOff>257175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4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xdr:row>
          <xdr:rowOff>38100</xdr:rowOff>
        </xdr:from>
        <xdr:to>
          <xdr:col>6</xdr:col>
          <xdr:colOff>390525</xdr:colOff>
          <xdr:row>4</xdr:row>
          <xdr:rowOff>257175</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4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xdr:row>
          <xdr:rowOff>28575</xdr:rowOff>
        </xdr:from>
        <xdr:to>
          <xdr:col>7</xdr:col>
          <xdr:colOff>28575</xdr:colOff>
          <xdr:row>5</xdr:row>
          <xdr:rowOff>257175</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4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xdr:row>
          <xdr:rowOff>9525</xdr:rowOff>
        </xdr:from>
        <xdr:to>
          <xdr:col>6</xdr:col>
          <xdr:colOff>381000</xdr:colOff>
          <xdr:row>6</xdr:row>
          <xdr:rowOff>238125</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4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7</xdr:col>
          <xdr:colOff>38100</xdr:colOff>
          <xdr:row>22</xdr:row>
          <xdr:rowOff>0</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4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9525</xdr:rowOff>
        </xdr:from>
        <xdr:to>
          <xdr:col>7</xdr:col>
          <xdr:colOff>28575</xdr:colOff>
          <xdr:row>32</xdr:row>
          <xdr:rowOff>9525</xdr:rowOff>
        </xdr:to>
        <xdr:sp macro="" textlink="">
          <xdr:nvSpPr>
            <xdr:cNvPr id="1060" name="Group Box 36" hidden="1">
              <a:extLst>
                <a:ext uri="{63B3BB69-23CF-44E3-9099-C40C66FF867C}">
                  <a14:compatExt spid="_x0000_s1060"/>
                </a:ext>
                <a:ext uri="{FF2B5EF4-FFF2-40B4-BE49-F238E27FC236}">
                  <a16:creationId xmlns:a16="http://schemas.microsoft.com/office/drawing/2014/main" id="{00000000-0008-0000-0400-00002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27</xdr:row>
          <xdr:rowOff>28575</xdr:rowOff>
        </xdr:from>
        <xdr:to>
          <xdr:col>6</xdr:col>
          <xdr:colOff>447675</xdr:colOff>
          <xdr:row>27</xdr:row>
          <xdr:rowOff>266700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4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28</xdr:row>
          <xdr:rowOff>28575</xdr:rowOff>
        </xdr:from>
        <xdr:to>
          <xdr:col>6</xdr:col>
          <xdr:colOff>447675</xdr:colOff>
          <xdr:row>28</xdr:row>
          <xdr:rowOff>257175</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4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29</xdr:row>
          <xdr:rowOff>9525</xdr:rowOff>
        </xdr:from>
        <xdr:to>
          <xdr:col>6</xdr:col>
          <xdr:colOff>447675</xdr:colOff>
          <xdr:row>29</xdr:row>
          <xdr:rowOff>276225</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4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30</xdr:row>
          <xdr:rowOff>38100</xdr:rowOff>
        </xdr:from>
        <xdr:to>
          <xdr:col>6</xdr:col>
          <xdr:colOff>447675</xdr:colOff>
          <xdr:row>30</xdr:row>
          <xdr:rowOff>257175</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4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31</xdr:row>
          <xdr:rowOff>66675</xdr:rowOff>
        </xdr:from>
        <xdr:to>
          <xdr:col>6</xdr:col>
          <xdr:colOff>447675</xdr:colOff>
          <xdr:row>31</xdr:row>
          <xdr:rowOff>333375</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4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9525</xdr:colOff>
          <xdr:row>37</xdr:row>
          <xdr:rowOff>0</xdr:rowOff>
        </xdr:to>
        <xdr:sp macro="" textlink="">
          <xdr:nvSpPr>
            <xdr:cNvPr id="1066" name="Group Box 42" hidden="1">
              <a:extLst>
                <a:ext uri="{63B3BB69-23CF-44E3-9099-C40C66FF867C}">
                  <a14:compatExt spid="_x0000_s1066"/>
                </a:ext>
                <a:ext uri="{FF2B5EF4-FFF2-40B4-BE49-F238E27FC236}">
                  <a16:creationId xmlns:a16="http://schemas.microsoft.com/office/drawing/2014/main" id="{00000000-0008-0000-0400-00002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28575</xdr:colOff>
          <xdr:row>42</xdr:row>
          <xdr:rowOff>0</xdr:rowOff>
        </xdr:to>
        <xdr:sp macro="" textlink="">
          <xdr:nvSpPr>
            <xdr:cNvPr id="1072" name="Group Box 48" hidden="1">
              <a:extLst>
                <a:ext uri="{63B3BB69-23CF-44E3-9099-C40C66FF867C}">
                  <a14:compatExt spid="_x0000_s1072"/>
                </a:ext>
                <a:ext uri="{FF2B5EF4-FFF2-40B4-BE49-F238E27FC236}">
                  <a16:creationId xmlns:a16="http://schemas.microsoft.com/office/drawing/2014/main" id="{00000000-0008-0000-0400-00003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37</xdr:row>
          <xdr:rowOff>38100</xdr:rowOff>
        </xdr:from>
        <xdr:to>
          <xdr:col>6</xdr:col>
          <xdr:colOff>447675</xdr:colOff>
          <xdr:row>37</xdr:row>
          <xdr:rowOff>257175</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4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38</xdr:row>
          <xdr:rowOff>38100</xdr:rowOff>
        </xdr:from>
        <xdr:to>
          <xdr:col>6</xdr:col>
          <xdr:colOff>447675</xdr:colOff>
          <xdr:row>38</xdr:row>
          <xdr:rowOff>257175</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4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39</xdr:row>
          <xdr:rowOff>38100</xdr:rowOff>
        </xdr:from>
        <xdr:to>
          <xdr:col>6</xdr:col>
          <xdr:colOff>447675</xdr:colOff>
          <xdr:row>39</xdr:row>
          <xdr:rowOff>257175</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4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40</xdr:row>
          <xdr:rowOff>38100</xdr:rowOff>
        </xdr:from>
        <xdr:to>
          <xdr:col>6</xdr:col>
          <xdr:colOff>447675</xdr:colOff>
          <xdr:row>40</xdr:row>
          <xdr:rowOff>257175</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4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41</xdr:row>
          <xdr:rowOff>38100</xdr:rowOff>
        </xdr:from>
        <xdr:to>
          <xdr:col>6</xdr:col>
          <xdr:colOff>447675</xdr:colOff>
          <xdr:row>41</xdr:row>
          <xdr:rowOff>257175</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4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0</xdr:rowOff>
        </xdr:from>
        <xdr:to>
          <xdr:col>7</xdr:col>
          <xdr:colOff>38100</xdr:colOff>
          <xdr:row>47</xdr:row>
          <xdr:rowOff>0</xdr:rowOff>
        </xdr:to>
        <xdr:sp macro="" textlink="">
          <xdr:nvSpPr>
            <xdr:cNvPr id="1078" name="Group Box 54" hidden="1">
              <a:extLst>
                <a:ext uri="{63B3BB69-23CF-44E3-9099-C40C66FF867C}">
                  <a14:compatExt spid="_x0000_s1078"/>
                </a:ext>
                <a:ext uri="{FF2B5EF4-FFF2-40B4-BE49-F238E27FC236}">
                  <a16:creationId xmlns:a16="http://schemas.microsoft.com/office/drawing/2014/main" id="{00000000-0008-0000-0400-00003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47</xdr:row>
          <xdr:rowOff>0</xdr:rowOff>
        </xdr:from>
        <xdr:to>
          <xdr:col>7</xdr:col>
          <xdr:colOff>38100</xdr:colOff>
          <xdr:row>51</xdr:row>
          <xdr:rowOff>266700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4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52</xdr:row>
          <xdr:rowOff>0</xdr:rowOff>
        </xdr:from>
        <xdr:to>
          <xdr:col>7</xdr:col>
          <xdr:colOff>47625</xdr:colOff>
          <xdr:row>56</xdr:row>
          <xdr:rowOff>266700</xdr:rowOff>
        </xdr:to>
        <xdr:sp macro="" textlink="">
          <xdr:nvSpPr>
            <xdr:cNvPr id="1091" name="Group Box 67" hidden="1">
              <a:extLst>
                <a:ext uri="{63B3BB69-23CF-44E3-9099-C40C66FF867C}">
                  <a14:compatExt spid="_x0000_s1091"/>
                </a:ext>
                <a:ext uri="{FF2B5EF4-FFF2-40B4-BE49-F238E27FC236}">
                  <a16:creationId xmlns:a16="http://schemas.microsoft.com/office/drawing/2014/main" id="{00000000-0008-0000-04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52</xdr:row>
          <xdr:rowOff>38100</xdr:rowOff>
        </xdr:from>
        <xdr:to>
          <xdr:col>6</xdr:col>
          <xdr:colOff>428625</xdr:colOff>
          <xdr:row>52</xdr:row>
          <xdr:rowOff>257175</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4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53</xdr:row>
          <xdr:rowOff>28575</xdr:rowOff>
        </xdr:from>
        <xdr:to>
          <xdr:col>6</xdr:col>
          <xdr:colOff>428625</xdr:colOff>
          <xdr:row>53</xdr:row>
          <xdr:rowOff>257175</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4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54</xdr:row>
          <xdr:rowOff>28575</xdr:rowOff>
        </xdr:from>
        <xdr:to>
          <xdr:col>6</xdr:col>
          <xdr:colOff>428625</xdr:colOff>
          <xdr:row>54</xdr:row>
          <xdr:rowOff>257175</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4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55</xdr:row>
          <xdr:rowOff>38100</xdr:rowOff>
        </xdr:from>
        <xdr:to>
          <xdr:col>6</xdr:col>
          <xdr:colOff>428625</xdr:colOff>
          <xdr:row>55</xdr:row>
          <xdr:rowOff>257175</xdr:rowOff>
        </xdr:to>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4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56</xdr:row>
          <xdr:rowOff>66675</xdr:rowOff>
        </xdr:from>
        <xdr:to>
          <xdr:col>6</xdr:col>
          <xdr:colOff>457200</xdr:colOff>
          <xdr:row>56</xdr:row>
          <xdr:rowOff>228600</xdr:rowOff>
        </xdr:to>
        <xdr:sp macro="" textlink="">
          <xdr:nvSpPr>
            <xdr:cNvPr id="1096" name="Option Button 72" hidden="1">
              <a:extLst>
                <a:ext uri="{63B3BB69-23CF-44E3-9099-C40C66FF867C}">
                  <a14:compatExt spid="_x0000_s1096"/>
                </a:ext>
                <a:ext uri="{FF2B5EF4-FFF2-40B4-BE49-F238E27FC236}">
                  <a16:creationId xmlns:a16="http://schemas.microsoft.com/office/drawing/2014/main" id="{00000000-0008-0000-04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0</xdr:rowOff>
        </xdr:from>
        <xdr:to>
          <xdr:col>7</xdr:col>
          <xdr:colOff>47625</xdr:colOff>
          <xdr:row>62</xdr:row>
          <xdr:rowOff>0</xdr:rowOff>
        </xdr:to>
        <xdr:sp macro="" textlink="">
          <xdr:nvSpPr>
            <xdr:cNvPr id="1097" name="Group Box 73" hidden="1">
              <a:extLst>
                <a:ext uri="{63B3BB69-23CF-44E3-9099-C40C66FF867C}">
                  <a14:compatExt spid="_x0000_s1097"/>
                </a:ext>
                <a:ext uri="{FF2B5EF4-FFF2-40B4-BE49-F238E27FC236}">
                  <a16:creationId xmlns:a16="http://schemas.microsoft.com/office/drawing/2014/main" id="{00000000-0008-0000-0400-00004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47</xdr:row>
          <xdr:rowOff>104775</xdr:rowOff>
        </xdr:from>
        <xdr:to>
          <xdr:col>6</xdr:col>
          <xdr:colOff>447675</xdr:colOff>
          <xdr:row>47</xdr:row>
          <xdr:rowOff>333375</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4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48</xdr:row>
          <xdr:rowOff>38100</xdr:rowOff>
        </xdr:from>
        <xdr:to>
          <xdr:col>6</xdr:col>
          <xdr:colOff>447675</xdr:colOff>
          <xdr:row>48</xdr:row>
          <xdr:rowOff>257175</xdr:rowOff>
        </xdr:to>
        <xdr:sp macro="" textlink="">
          <xdr:nvSpPr>
            <xdr:cNvPr id="1113" name="Option Button 89" hidden="1">
              <a:extLst>
                <a:ext uri="{63B3BB69-23CF-44E3-9099-C40C66FF867C}">
                  <a14:compatExt spid="_x0000_s1113"/>
                </a:ext>
                <a:ext uri="{FF2B5EF4-FFF2-40B4-BE49-F238E27FC236}">
                  <a16:creationId xmlns:a16="http://schemas.microsoft.com/office/drawing/2014/main" id="{00000000-0008-0000-04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49</xdr:row>
          <xdr:rowOff>38100</xdr:rowOff>
        </xdr:from>
        <xdr:to>
          <xdr:col>6</xdr:col>
          <xdr:colOff>447675</xdr:colOff>
          <xdr:row>49</xdr:row>
          <xdr:rowOff>257175</xdr:rowOff>
        </xdr:to>
        <xdr:sp macro="" textlink="">
          <xdr:nvSpPr>
            <xdr:cNvPr id="1114" name="Option Button 90" hidden="1">
              <a:extLst>
                <a:ext uri="{63B3BB69-23CF-44E3-9099-C40C66FF867C}">
                  <a14:compatExt spid="_x0000_s1114"/>
                </a:ext>
                <a:ext uri="{FF2B5EF4-FFF2-40B4-BE49-F238E27FC236}">
                  <a16:creationId xmlns:a16="http://schemas.microsoft.com/office/drawing/2014/main" id="{00000000-0008-0000-04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50</xdr:row>
          <xdr:rowOff>38100</xdr:rowOff>
        </xdr:from>
        <xdr:to>
          <xdr:col>6</xdr:col>
          <xdr:colOff>447675</xdr:colOff>
          <xdr:row>50</xdr:row>
          <xdr:rowOff>257175</xdr:rowOff>
        </xdr:to>
        <xdr:sp macro="" textlink="">
          <xdr:nvSpPr>
            <xdr:cNvPr id="1115" name="Option Button 91" hidden="1">
              <a:extLst>
                <a:ext uri="{63B3BB69-23CF-44E3-9099-C40C66FF867C}">
                  <a14:compatExt spid="_x0000_s1115"/>
                </a:ext>
                <a:ext uri="{FF2B5EF4-FFF2-40B4-BE49-F238E27FC236}">
                  <a16:creationId xmlns:a16="http://schemas.microsoft.com/office/drawing/2014/main" id="{00000000-0008-0000-04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51</xdr:row>
          <xdr:rowOff>28575</xdr:rowOff>
        </xdr:from>
        <xdr:to>
          <xdr:col>6</xdr:col>
          <xdr:colOff>447675</xdr:colOff>
          <xdr:row>51</xdr:row>
          <xdr:rowOff>257175</xdr:rowOff>
        </xdr:to>
        <xdr:sp macro="" textlink="">
          <xdr:nvSpPr>
            <xdr:cNvPr id="1116" name="Option Button 92" hidden="1">
              <a:extLst>
                <a:ext uri="{63B3BB69-23CF-44E3-9099-C40C66FF867C}">
                  <a14:compatExt spid="_x0000_s1116"/>
                </a:ext>
                <a:ext uri="{FF2B5EF4-FFF2-40B4-BE49-F238E27FC236}">
                  <a16:creationId xmlns:a16="http://schemas.microsoft.com/office/drawing/2014/main" id="{00000000-0008-0000-04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57</xdr:row>
          <xdr:rowOff>104775</xdr:rowOff>
        </xdr:from>
        <xdr:to>
          <xdr:col>6</xdr:col>
          <xdr:colOff>381000</xdr:colOff>
          <xdr:row>57</xdr:row>
          <xdr:rowOff>333375</xdr:rowOff>
        </xdr:to>
        <xdr:sp macro="" textlink="">
          <xdr:nvSpPr>
            <xdr:cNvPr id="1117" name="Option Button 93" hidden="1">
              <a:extLst>
                <a:ext uri="{63B3BB69-23CF-44E3-9099-C40C66FF867C}">
                  <a14:compatExt spid="_x0000_s1117"/>
                </a:ext>
                <a:ext uri="{FF2B5EF4-FFF2-40B4-BE49-F238E27FC236}">
                  <a16:creationId xmlns:a16="http://schemas.microsoft.com/office/drawing/2014/main" id="{00000000-0008-0000-0400-00005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58</xdr:row>
          <xdr:rowOff>104775</xdr:rowOff>
        </xdr:from>
        <xdr:to>
          <xdr:col>6</xdr:col>
          <xdr:colOff>352425</xdr:colOff>
          <xdr:row>58</xdr:row>
          <xdr:rowOff>333375</xdr:rowOff>
        </xdr:to>
        <xdr:sp macro="" textlink="">
          <xdr:nvSpPr>
            <xdr:cNvPr id="1118" name="Option Button 94" hidden="1">
              <a:extLst>
                <a:ext uri="{63B3BB69-23CF-44E3-9099-C40C66FF867C}">
                  <a14:compatExt spid="_x0000_s1118"/>
                </a:ext>
                <a:ext uri="{FF2B5EF4-FFF2-40B4-BE49-F238E27FC236}">
                  <a16:creationId xmlns:a16="http://schemas.microsoft.com/office/drawing/2014/main" id="{00000000-0008-0000-04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59</xdr:row>
          <xdr:rowOff>104775</xdr:rowOff>
        </xdr:from>
        <xdr:to>
          <xdr:col>6</xdr:col>
          <xdr:colOff>371475</xdr:colOff>
          <xdr:row>59</xdr:row>
          <xdr:rowOff>333375</xdr:rowOff>
        </xdr:to>
        <xdr:sp macro="" textlink="">
          <xdr:nvSpPr>
            <xdr:cNvPr id="1119" name="Option Button 95" hidden="1">
              <a:extLst>
                <a:ext uri="{63B3BB69-23CF-44E3-9099-C40C66FF867C}">
                  <a14:compatExt spid="_x0000_s1119"/>
                </a:ext>
                <a:ext uri="{FF2B5EF4-FFF2-40B4-BE49-F238E27FC236}">
                  <a16:creationId xmlns:a16="http://schemas.microsoft.com/office/drawing/2014/main" id="{00000000-0008-0000-0400-00005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60</xdr:row>
          <xdr:rowOff>104775</xdr:rowOff>
        </xdr:from>
        <xdr:to>
          <xdr:col>6</xdr:col>
          <xdr:colOff>381000</xdr:colOff>
          <xdr:row>60</xdr:row>
          <xdr:rowOff>333375</xdr:rowOff>
        </xdr:to>
        <xdr:sp macro="" textlink="">
          <xdr:nvSpPr>
            <xdr:cNvPr id="1120" name="Option Button 96" hidden="1">
              <a:extLst>
                <a:ext uri="{63B3BB69-23CF-44E3-9099-C40C66FF867C}">
                  <a14:compatExt spid="_x0000_s1120"/>
                </a:ext>
                <a:ext uri="{FF2B5EF4-FFF2-40B4-BE49-F238E27FC236}">
                  <a16:creationId xmlns:a16="http://schemas.microsoft.com/office/drawing/2014/main" id="{00000000-0008-0000-0400-00006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61</xdr:row>
          <xdr:rowOff>123825</xdr:rowOff>
        </xdr:from>
        <xdr:to>
          <xdr:col>6</xdr:col>
          <xdr:colOff>333375</xdr:colOff>
          <xdr:row>61</xdr:row>
          <xdr:rowOff>342900</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400-00006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12</xdr:row>
          <xdr:rowOff>9525</xdr:rowOff>
        </xdr:from>
        <xdr:to>
          <xdr:col>7</xdr:col>
          <xdr:colOff>28575</xdr:colOff>
          <xdr:row>17</xdr:row>
          <xdr:rowOff>28575</xdr:rowOff>
        </xdr:to>
        <xdr:sp macro="" textlink="">
          <xdr:nvSpPr>
            <xdr:cNvPr id="1124" name="Group Box 100" hidden="1">
              <a:extLst>
                <a:ext uri="{63B3BB69-23CF-44E3-9099-C40C66FF867C}">
                  <a14:compatExt spid="_x0000_s1124"/>
                </a:ext>
                <a:ext uri="{FF2B5EF4-FFF2-40B4-BE49-F238E27FC236}">
                  <a16:creationId xmlns:a16="http://schemas.microsoft.com/office/drawing/2014/main" id="{00000000-0008-0000-0400-00006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xdr:row>
          <xdr:rowOff>142875</xdr:rowOff>
        </xdr:from>
        <xdr:to>
          <xdr:col>7</xdr:col>
          <xdr:colOff>28575</xdr:colOff>
          <xdr:row>12</xdr:row>
          <xdr:rowOff>371475</xdr:rowOff>
        </xdr:to>
        <xdr:sp macro="" textlink="">
          <xdr:nvSpPr>
            <xdr:cNvPr id="1143" name="Option Button 119" hidden="1">
              <a:extLst>
                <a:ext uri="{63B3BB69-23CF-44E3-9099-C40C66FF867C}">
                  <a14:compatExt spid="_x0000_s1143"/>
                </a:ext>
                <a:ext uri="{FF2B5EF4-FFF2-40B4-BE49-F238E27FC236}">
                  <a16:creationId xmlns:a16="http://schemas.microsoft.com/office/drawing/2014/main" id="{00000000-0008-0000-04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xdr:row>
          <xdr:rowOff>28575</xdr:rowOff>
        </xdr:from>
        <xdr:to>
          <xdr:col>6</xdr:col>
          <xdr:colOff>419100</xdr:colOff>
          <xdr:row>13</xdr:row>
          <xdr:rowOff>257175</xdr:rowOff>
        </xdr:to>
        <xdr:sp macro="" textlink="">
          <xdr:nvSpPr>
            <xdr:cNvPr id="1148" name="Option Button 124" hidden="1">
              <a:extLst>
                <a:ext uri="{63B3BB69-23CF-44E3-9099-C40C66FF867C}">
                  <a14:compatExt spid="_x0000_s1148"/>
                </a:ext>
                <a:ext uri="{FF2B5EF4-FFF2-40B4-BE49-F238E27FC236}">
                  <a16:creationId xmlns:a16="http://schemas.microsoft.com/office/drawing/2014/main" id="{00000000-0008-0000-04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xdr:row>
          <xdr:rowOff>38100</xdr:rowOff>
        </xdr:from>
        <xdr:to>
          <xdr:col>6</xdr:col>
          <xdr:colOff>371475</xdr:colOff>
          <xdr:row>14</xdr:row>
          <xdr:rowOff>257175</xdr:rowOff>
        </xdr:to>
        <xdr:sp macro="" textlink="">
          <xdr:nvSpPr>
            <xdr:cNvPr id="1149" name="Option Button 125" hidden="1">
              <a:extLst>
                <a:ext uri="{63B3BB69-23CF-44E3-9099-C40C66FF867C}">
                  <a14:compatExt spid="_x0000_s1149"/>
                </a:ext>
                <a:ext uri="{FF2B5EF4-FFF2-40B4-BE49-F238E27FC236}">
                  <a16:creationId xmlns:a16="http://schemas.microsoft.com/office/drawing/2014/main" id="{00000000-0008-0000-04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15</xdr:row>
          <xdr:rowOff>57150</xdr:rowOff>
        </xdr:from>
        <xdr:to>
          <xdr:col>6</xdr:col>
          <xdr:colOff>371475</xdr:colOff>
          <xdr:row>16</xdr:row>
          <xdr:rowOff>9525</xdr:rowOff>
        </xdr:to>
        <xdr:sp macro="" textlink="">
          <xdr:nvSpPr>
            <xdr:cNvPr id="1150" name="Option Button 126" hidden="1">
              <a:extLst>
                <a:ext uri="{63B3BB69-23CF-44E3-9099-C40C66FF867C}">
                  <a14:compatExt spid="_x0000_s1150"/>
                </a:ext>
                <a:ext uri="{FF2B5EF4-FFF2-40B4-BE49-F238E27FC236}">
                  <a16:creationId xmlns:a16="http://schemas.microsoft.com/office/drawing/2014/main" id="{00000000-0008-0000-04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16</xdr:row>
          <xdr:rowOff>28575</xdr:rowOff>
        </xdr:from>
        <xdr:to>
          <xdr:col>6</xdr:col>
          <xdr:colOff>381000</xdr:colOff>
          <xdr:row>16</xdr:row>
          <xdr:rowOff>257175</xdr:rowOff>
        </xdr:to>
        <xdr:sp macro="" textlink="">
          <xdr:nvSpPr>
            <xdr:cNvPr id="1152" name="Option Button 128" hidden="1">
              <a:extLst>
                <a:ext uri="{63B3BB69-23CF-44E3-9099-C40C66FF867C}">
                  <a14:compatExt spid="_x0000_s1152"/>
                </a:ext>
                <a:ext uri="{FF2B5EF4-FFF2-40B4-BE49-F238E27FC236}">
                  <a16:creationId xmlns:a16="http://schemas.microsoft.com/office/drawing/2014/main" id="{00000000-0008-0000-04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32</xdr:row>
          <xdr:rowOff>85725</xdr:rowOff>
        </xdr:from>
        <xdr:to>
          <xdr:col>6</xdr:col>
          <xdr:colOff>371475</xdr:colOff>
          <xdr:row>32</xdr:row>
          <xdr:rowOff>304800</xdr:rowOff>
        </xdr:to>
        <xdr:sp macro="" textlink="">
          <xdr:nvSpPr>
            <xdr:cNvPr id="1155" name="Option Button 131" hidden="1">
              <a:extLst>
                <a:ext uri="{63B3BB69-23CF-44E3-9099-C40C66FF867C}">
                  <a14:compatExt spid="_x0000_s1155"/>
                </a:ext>
                <a:ext uri="{FF2B5EF4-FFF2-40B4-BE49-F238E27FC236}">
                  <a16:creationId xmlns:a16="http://schemas.microsoft.com/office/drawing/2014/main" id="{00000000-0008-0000-04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33</xdr:row>
          <xdr:rowOff>238125</xdr:rowOff>
        </xdr:from>
        <xdr:to>
          <xdr:col>6</xdr:col>
          <xdr:colOff>371475</xdr:colOff>
          <xdr:row>33</xdr:row>
          <xdr:rowOff>457200</xdr:rowOff>
        </xdr:to>
        <xdr:sp macro="" textlink="">
          <xdr:nvSpPr>
            <xdr:cNvPr id="1156" name="Option Button 132" hidden="1">
              <a:extLst>
                <a:ext uri="{63B3BB69-23CF-44E3-9099-C40C66FF867C}">
                  <a14:compatExt spid="_x0000_s1156"/>
                </a:ext>
                <a:ext uri="{FF2B5EF4-FFF2-40B4-BE49-F238E27FC236}">
                  <a16:creationId xmlns:a16="http://schemas.microsoft.com/office/drawing/2014/main" id="{00000000-0008-0000-04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34</xdr:row>
          <xdr:rowOff>9525</xdr:rowOff>
        </xdr:from>
        <xdr:to>
          <xdr:col>6</xdr:col>
          <xdr:colOff>371475</xdr:colOff>
          <xdr:row>34</xdr:row>
          <xdr:rowOff>238125</xdr:rowOff>
        </xdr:to>
        <xdr:sp macro="" textlink="">
          <xdr:nvSpPr>
            <xdr:cNvPr id="1157" name="Option Button 133" hidden="1">
              <a:extLst>
                <a:ext uri="{63B3BB69-23CF-44E3-9099-C40C66FF867C}">
                  <a14:compatExt spid="_x0000_s1157"/>
                </a:ext>
                <a:ext uri="{FF2B5EF4-FFF2-40B4-BE49-F238E27FC236}">
                  <a16:creationId xmlns:a16="http://schemas.microsoft.com/office/drawing/2014/main" id="{00000000-0008-0000-04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38100</xdr:rowOff>
        </xdr:from>
        <xdr:to>
          <xdr:col>6</xdr:col>
          <xdr:colOff>371475</xdr:colOff>
          <xdr:row>35</xdr:row>
          <xdr:rowOff>257175</xdr:rowOff>
        </xdr:to>
        <xdr:sp macro="" textlink="">
          <xdr:nvSpPr>
            <xdr:cNvPr id="1158" name="Option Button 134" hidden="1">
              <a:extLst>
                <a:ext uri="{63B3BB69-23CF-44E3-9099-C40C66FF867C}">
                  <a14:compatExt spid="_x0000_s1158"/>
                </a:ext>
                <a:ext uri="{FF2B5EF4-FFF2-40B4-BE49-F238E27FC236}">
                  <a16:creationId xmlns:a16="http://schemas.microsoft.com/office/drawing/2014/main" id="{00000000-0008-0000-04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36</xdr:row>
          <xdr:rowOff>47625</xdr:rowOff>
        </xdr:from>
        <xdr:to>
          <xdr:col>6</xdr:col>
          <xdr:colOff>371475</xdr:colOff>
          <xdr:row>36</xdr:row>
          <xdr:rowOff>266700</xdr:rowOff>
        </xdr:to>
        <xdr:sp macro="" textlink="">
          <xdr:nvSpPr>
            <xdr:cNvPr id="1159" name="Option Button 135" hidden="1">
              <a:extLst>
                <a:ext uri="{63B3BB69-23CF-44E3-9099-C40C66FF867C}">
                  <a14:compatExt spid="_x0000_s1159"/>
                </a:ext>
                <a:ext uri="{FF2B5EF4-FFF2-40B4-BE49-F238E27FC236}">
                  <a16:creationId xmlns:a16="http://schemas.microsoft.com/office/drawing/2014/main" id="{00000000-0008-0000-04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28575</xdr:rowOff>
        </xdr:from>
        <xdr:to>
          <xdr:col>7</xdr:col>
          <xdr:colOff>47625</xdr:colOff>
          <xdr:row>12</xdr:row>
          <xdr:rowOff>0</xdr:rowOff>
        </xdr:to>
        <xdr:sp macro="" textlink="">
          <xdr:nvSpPr>
            <xdr:cNvPr id="1168" name="Group Box 144" hidden="1">
              <a:extLst>
                <a:ext uri="{63B3BB69-23CF-44E3-9099-C40C66FF867C}">
                  <a14:compatExt spid="_x0000_s1168"/>
                </a:ext>
                <a:ext uri="{FF2B5EF4-FFF2-40B4-BE49-F238E27FC236}">
                  <a16:creationId xmlns:a16="http://schemas.microsoft.com/office/drawing/2014/main" id="{00000000-0008-0000-0400-00009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xdr:row>
          <xdr:rowOff>133350</xdr:rowOff>
        </xdr:from>
        <xdr:to>
          <xdr:col>6</xdr:col>
          <xdr:colOff>447675</xdr:colOff>
          <xdr:row>7</xdr:row>
          <xdr:rowOff>352425</xdr:rowOff>
        </xdr:to>
        <xdr:sp macro="" textlink="">
          <xdr:nvSpPr>
            <xdr:cNvPr id="1169" name="Option Button 145" hidden="1">
              <a:extLst>
                <a:ext uri="{63B3BB69-23CF-44E3-9099-C40C66FF867C}">
                  <a14:compatExt spid="_x0000_s1169"/>
                </a:ext>
                <a:ext uri="{FF2B5EF4-FFF2-40B4-BE49-F238E27FC236}">
                  <a16:creationId xmlns:a16="http://schemas.microsoft.com/office/drawing/2014/main" id="{00000000-0008-0000-04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8</xdr:row>
          <xdr:rowOff>114300</xdr:rowOff>
        </xdr:from>
        <xdr:to>
          <xdr:col>6</xdr:col>
          <xdr:colOff>447675</xdr:colOff>
          <xdr:row>8</xdr:row>
          <xdr:rowOff>333375</xdr:rowOff>
        </xdr:to>
        <xdr:sp macro="" textlink="">
          <xdr:nvSpPr>
            <xdr:cNvPr id="1170" name="Option Button 146" hidden="1">
              <a:extLst>
                <a:ext uri="{63B3BB69-23CF-44E3-9099-C40C66FF867C}">
                  <a14:compatExt spid="_x0000_s1170"/>
                </a:ext>
                <a:ext uri="{FF2B5EF4-FFF2-40B4-BE49-F238E27FC236}">
                  <a16:creationId xmlns:a16="http://schemas.microsoft.com/office/drawing/2014/main" id="{00000000-0008-0000-04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9</xdr:row>
          <xdr:rowOff>85725</xdr:rowOff>
        </xdr:from>
        <xdr:to>
          <xdr:col>6</xdr:col>
          <xdr:colOff>447675</xdr:colOff>
          <xdr:row>9</xdr:row>
          <xdr:rowOff>342900</xdr:rowOff>
        </xdr:to>
        <xdr:sp macro="" textlink="">
          <xdr:nvSpPr>
            <xdr:cNvPr id="1171" name="Option Button 147" hidden="1">
              <a:extLst>
                <a:ext uri="{63B3BB69-23CF-44E3-9099-C40C66FF867C}">
                  <a14:compatExt spid="_x0000_s1171"/>
                </a:ext>
                <a:ext uri="{FF2B5EF4-FFF2-40B4-BE49-F238E27FC236}">
                  <a16:creationId xmlns:a16="http://schemas.microsoft.com/office/drawing/2014/main" id="{00000000-0008-0000-04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10</xdr:row>
          <xdr:rowOff>85725</xdr:rowOff>
        </xdr:from>
        <xdr:to>
          <xdr:col>6</xdr:col>
          <xdr:colOff>447675</xdr:colOff>
          <xdr:row>10</xdr:row>
          <xdr:rowOff>342900</xdr:rowOff>
        </xdr:to>
        <xdr:sp macro="" textlink="">
          <xdr:nvSpPr>
            <xdr:cNvPr id="1172" name="Option Button 148" hidden="1">
              <a:extLst>
                <a:ext uri="{63B3BB69-23CF-44E3-9099-C40C66FF867C}">
                  <a14:compatExt spid="_x0000_s1172"/>
                </a:ext>
                <a:ext uri="{FF2B5EF4-FFF2-40B4-BE49-F238E27FC236}">
                  <a16:creationId xmlns:a16="http://schemas.microsoft.com/office/drawing/2014/main" id="{00000000-0008-0000-04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11</xdr:row>
          <xdr:rowOff>114300</xdr:rowOff>
        </xdr:from>
        <xdr:to>
          <xdr:col>6</xdr:col>
          <xdr:colOff>447675</xdr:colOff>
          <xdr:row>11</xdr:row>
          <xdr:rowOff>342900</xdr:rowOff>
        </xdr:to>
        <xdr:sp macro="" textlink="">
          <xdr:nvSpPr>
            <xdr:cNvPr id="1173" name="Option Button 149" hidden="1">
              <a:extLst>
                <a:ext uri="{63B3BB69-23CF-44E3-9099-C40C66FF867C}">
                  <a14:compatExt spid="_x0000_s1173"/>
                </a:ext>
                <a:ext uri="{FF2B5EF4-FFF2-40B4-BE49-F238E27FC236}">
                  <a16:creationId xmlns:a16="http://schemas.microsoft.com/office/drawing/2014/main" id="{00000000-0008-0000-04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17</xdr:row>
          <xdr:rowOff>152400</xdr:rowOff>
        </xdr:from>
        <xdr:to>
          <xdr:col>6</xdr:col>
          <xdr:colOff>447675</xdr:colOff>
          <xdr:row>17</xdr:row>
          <xdr:rowOff>371475</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4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18</xdr:row>
          <xdr:rowOff>142875</xdr:rowOff>
        </xdr:from>
        <xdr:to>
          <xdr:col>6</xdr:col>
          <xdr:colOff>447675</xdr:colOff>
          <xdr:row>18</xdr:row>
          <xdr:rowOff>361950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4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19</xdr:row>
          <xdr:rowOff>152400</xdr:rowOff>
        </xdr:from>
        <xdr:to>
          <xdr:col>6</xdr:col>
          <xdr:colOff>447675</xdr:colOff>
          <xdr:row>19</xdr:row>
          <xdr:rowOff>371475</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4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20</xdr:row>
          <xdr:rowOff>161925</xdr:rowOff>
        </xdr:from>
        <xdr:to>
          <xdr:col>6</xdr:col>
          <xdr:colOff>447675</xdr:colOff>
          <xdr:row>20</xdr:row>
          <xdr:rowOff>381000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4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21</xdr:row>
          <xdr:rowOff>133350</xdr:rowOff>
        </xdr:from>
        <xdr:to>
          <xdr:col>6</xdr:col>
          <xdr:colOff>447675</xdr:colOff>
          <xdr:row>21</xdr:row>
          <xdr:rowOff>352425</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4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xdr:row>
          <xdr:rowOff>485775</xdr:rowOff>
        </xdr:from>
        <xdr:to>
          <xdr:col>7</xdr:col>
          <xdr:colOff>28575</xdr:colOff>
          <xdr:row>26</xdr:row>
          <xdr:rowOff>390525</xdr:rowOff>
        </xdr:to>
        <xdr:sp macro="" textlink="">
          <xdr:nvSpPr>
            <xdr:cNvPr id="1179" name="Group Box 155" hidden="1">
              <a:extLst>
                <a:ext uri="{63B3BB69-23CF-44E3-9099-C40C66FF867C}">
                  <a14:compatExt spid="_x0000_s1179"/>
                </a:ext>
                <a:ext uri="{FF2B5EF4-FFF2-40B4-BE49-F238E27FC236}">
                  <a16:creationId xmlns:a16="http://schemas.microsoft.com/office/drawing/2014/main" id="{00000000-0008-0000-0400-00009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95250</xdr:rowOff>
        </xdr:from>
        <xdr:to>
          <xdr:col>6</xdr:col>
          <xdr:colOff>438150</xdr:colOff>
          <xdr:row>22</xdr:row>
          <xdr:rowOff>314325</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4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76200</xdr:rowOff>
        </xdr:from>
        <xdr:to>
          <xdr:col>6</xdr:col>
          <xdr:colOff>438150</xdr:colOff>
          <xdr:row>23</xdr:row>
          <xdr:rowOff>295275</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4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24</xdr:row>
          <xdr:rowOff>123825</xdr:rowOff>
        </xdr:from>
        <xdr:to>
          <xdr:col>6</xdr:col>
          <xdr:colOff>438150</xdr:colOff>
          <xdr:row>24</xdr:row>
          <xdr:rowOff>342900</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4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25</xdr:row>
          <xdr:rowOff>104775</xdr:rowOff>
        </xdr:from>
        <xdr:to>
          <xdr:col>6</xdr:col>
          <xdr:colOff>438150</xdr:colOff>
          <xdr:row>25</xdr:row>
          <xdr:rowOff>323850</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4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26</xdr:row>
          <xdr:rowOff>95250</xdr:rowOff>
        </xdr:from>
        <xdr:to>
          <xdr:col>6</xdr:col>
          <xdr:colOff>438150</xdr:colOff>
          <xdr:row>26</xdr:row>
          <xdr:rowOff>314325</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4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42</xdr:row>
          <xdr:rowOff>133350</xdr:rowOff>
        </xdr:from>
        <xdr:to>
          <xdr:col>6</xdr:col>
          <xdr:colOff>447675</xdr:colOff>
          <xdr:row>42</xdr:row>
          <xdr:rowOff>400050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4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43</xdr:row>
          <xdr:rowOff>152400</xdr:rowOff>
        </xdr:from>
        <xdr:to>
          <xdr:col>6</xdr:col>
          <xdr:colOff>447675</xdr:colOff>
          <xdr:row>43</xdr:row>
          <xdr:rowOff>371475</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4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44</xdr:row>
          <xdr:rowOff>142875</xdr:rowOff>
        </xdr:from>
        <xdr:to>
          <xdr:col>6</xdr:col>
          <xdr:colOff>447675</xdr:colOff>
          <xdr:row>44</xdr:row>
          <xdr:rowOff>361950</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4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171450</xdr:rowOff>
        </xdr:from>
        <xdr:to>
          <xdr:col>6</xdr:col>
          <xdr:colOff>447675</xdr:colOff>
          <xdr:row>45</xdr:row>
          <xdr:rowOff>390525</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4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46</xdr:row>
          <xdr:rowOff>152400</xdr:rowOff>
        </xdr:from>
        <xdr:to>
          <xdr:col>6</xdr:col>
          <xdr:colOff>447675</xdr:colOff>
          <xdr:row>46</xdr:row>
          <xdr:rowOff>371475</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4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xdr:row>
          <xdr:rowOff>9525</xdr:rowOff>
        </xdr:from>
        <xdr:to>
          <xdr:col>7</xdr:col>
          <xdr:colOff>38100</xdr:colOff>
          <xdr:row>7</xdr:row>
          <xdr:rowOff>0</xdr:rowOff>
        </xdr:to>
        <xdr:sp macro="" textlink="">
          <xdr:nvSpPr>
            <xdr:cNvPr id="19457" name="Group Box 1" hidden="1">
              <a:extLst>
                <a:ext uri="{63B3BB69-23CF-44E3-9099-C40C66FF867C}">
                  <a14:compatExt spid="_x0000_s19457"/>
                </a:ext>
                <a:ext uri="{FF2B5EF4-FFF2-40B4-BE49-F238E27FC236}">
                  <a16:creationId xmlns:a16="http://schemas.microsoft.com/office/drawing/2014/main" id="{00000000-0008-0000-0500-000001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9525</xdr:rowOff>
        </xdr:from>
        <xdr:to>
          <xdr:col>7</xdr:col>
          <xdr:colOff>38100</xdr:colOff>
          <xdr:row>12</xdr:row>
          <xdr:rowOff>9525</xdr:rowOff>
        </xdr:to>
        <xdr:sp macro="" textlink="">
          <xdr:nvSpPr>
            <xdr:cNvPr id="19463" name="Group Box 7" hidden="1">
              <a:extLst>
                <a:ext uri="{63B3BB69-23CF-44E3-9099-C40C66FF867C}">
                  <a14:compatExt spid="_x0000_s19463"/>
                </a:ext>
                <a:ext uri="{FF2B5EF4-FFF2-40B4-BE49-F238E27FC236}">
                  <a16:creationId xmlns:a16="http://schemas.microsoft.com/office/drawing/2014/main" id="{00000000-0008-0000-0500-000007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7</xdr:col>
          <xdr:colOff>38100</xdr:colOff>
          <xdr:row>17</xdr:row>
          <xdr:rowOff>0</xdr:rowOff>
        </xdr:to>
        <xdr:sp macro="" textlink="">
          <xdr:nvSpPr>
            <xdr:cNvPr id="19469" name="Group Box 13" hidden="1">
              <a:extLst>
                <a:ext uri="{63B3BB69-23CF-44E3-9099-C40C66FF867C}">
                  <a14:compatExt spid="_x0000_s19469"/>
                </a:ext>
                <a:ext uri="{FF2B5EF4-FFF2-40B4-BE49-F238E27FC236}">
                  <a16:creationId xmlns:a16="http://schemas.microsoft.com/office/drawing/2014/main" id="{00000000-0008-0000-0500-00000D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12</xdr:row>
          <xdr:rowOff>9525</xdr:rowOff>
        </xdr:from>
        <xdr:to>
          <xdr:col>6</xdr:col>
          <xdr:colOff>447675</xdr:colOff>
          <xdr:row>12</xdr:row>
          <xdr:rowOff>295275</xdr:rowOff>
        </xdr:to>
        <xdr:sp macro="" textlink="">
          <xdr:nvSpPr>
            <xdr:cNvPr id="19470" name="Option Button 14" hidden="1">
              <a:extLst>
                <a:ext uri="{63B3BB69-23CF-44E3-9099-C40C66FF867C}">
                  <a14:compatExt spid="_x0000_s19470"/>
                </a:ext>
                <a:ext uri="{FF2B5EF4-FFF2-40B4-BE49-F238E27FC236}">
                  <a16:creationId xmlns:a16="http://schemas.microsoft.com/office/drawing/2014/main" id="{00000000-0008-0000-0500-00000E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9525</xdr:rowOff>
        </xdr:from>
        <xdr:to>
          <xdr:col>7</xdr:col>
          <xdr:colOff>0</xdr:colOff>
          <xdr:row>14</xdr:row>
          <xdr:rowOff>9525</xdr:rowOff>
        </xdr:to>
        <xdr:sp macro="" textlink="">
          <xdr:nvSpPr>
            <xdr:cNvPr id="19471" name="Option Button 15" hidden="1">
              <a:extLst>
                <a:ext uri="{63B3BB69-23CF-44E3-9099-C40C66FF867C}">
                  <a14:compatExt spid="_x0000_s19471"/>
                </a:ext>
                <a:ext uri="{FF2B5EF4-FFF2-40B4-BE49-F238E27FC236}">
                  <a16:creationId xmlns:a16="http://schemas.microsoft.com/office/drawing/2014/main" id="{00000000-0008-0000-0500-00000F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xdr:row>
          <xdr:rowOff>28575</xdr:rowOff>
        </xdr:from>
        <xdr:to>
          <xdr:col>6</xdr:col>
          <xdr:colOff>447675</xdr:colOff>
          <xdr:row>14</xdr:row>
          <xdr:rowOff>257175</xdr:rowOff>
        </xdr:to>
        <xdr:sp macro="" textlink="">
          <xdr:nvSpPr>
            <xdr:cNvPr id="19472" name="Option Button 16" hidden="1">
              <a:extLst>
                <a:ext uri="{63B3BB69-23CF-44E3-9099-C40C66FF867C}">
                  <a14:compatExt spid="_x0000_s19472"/>
                </a:ext>
                <a:ext uri="{FF2B5EF4-FFF2-40B4-BE49-F238E27FC236}">
                  <a16:creationId xmlns:a16="http://schemas.microsoft.com/office/drawing/2014/main" id="{00000000-0008-0000-0500-000010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15</xdr:row>
          <xdr:rowOff>38100</xdr:rowOff>
        </xdr:from>
        <xdr:to>
          <xdr:col>6</xdr:col>
          <xdr:colOff>447675</xdr:colOff>
          <xdr:row>15</xdr:row>
          <xdr:rowOff>266700</xdr:rowOff>
        </xdr:to>
        <xdr:sp macro="" textlink="">
          <xdr:nvSpPr>
            <xdr:cNvPr id="19473" name="Option Button 17" hidden="1">
              <a:extLst>
                <a:ext uri="{63B3BB69-23CF-44E3-9099-C40C66FF867C}">
                  <a14:compatExt spid="_x0000_s19473"/>
                </a:ext>
                <a:ext uri="{FF2B5EF4-FFF2-40B4-BE49-F238E27FC236}">
                  <a16:creationId xmlns:a16="http://schemas.microsoft.com/office/drawing/2014/main" id="{00000000-0008-0000-0500-000011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16</xdr:row>
          <xdr:rowOff>28575</xdr:rowOff>
        </xdr:from>
        <xdr:to>
          <xdr:col>6</xdr:col>
          <xdr:colOff>409575</xdr:colOff>
          <xdr:row>16</xdr:row>
          <xdr:rowOff>257175</xdr:rowOff>
        </xdr:to>
        <xdr:sp macro="" textlink="">
          <xdr:nvSpPr>
            <xdr:cNvPr id="19474" name="Option Button 18" hidden="1">
              <a:extLst>
                <a:ext uri="{63B3BB69-23CF-44E3-9099-C40C66FF867C}">
                  <a14:compatExt spid="_x0000_s19474"/>
                </a:ext>
                <a:ext uri="{FF2B5EF4-FFF2-40B4-BE49-F238E27FC236}">
                  <a16:creationId xmlns:a16="http://schemas.microsoft.com/office/drawing/2014/main" id="{00000000-0008-0000-0500-00001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7</xdr:col>
          <xdr:colOff>38100</xdr:colOff>
          <xdr:row>22</xdr:row>
          <xdr:rowOff>0</xdr:rowOff>
        </xdr:to>
        <xdr:sp macro="" textlink="">
          <xdr:nvSpPr>
            <xdr:cNvPr id="19475" name="Group Box 19" hidden="1">
              <a:extLst>
                <a:ext uri="{63B3BB69-23CF-44E3-9099-C40C66FF867C}">
                  <a14:compatExt spid="_x0000_s19475"/>
                </a:ext>
                <a:ext uri="{FF2B5EF4-FFF2-40B4-BE49-F238E27FC236}">
                  <a16:creationId xmlns:a16="http://schemas.microsoft.com/office/drawing/2014/main" id="{00000000-0008-0000-0500-00001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17</xdr:row>
          <xdr:rowOff>76200</xdr:rowOff>
        </xdr:from>
        <xdr:to>
          <xdr:col>6</xdr:col>
          <xdr:colOff>447675</xdr:colOff>
          <xdr:row>17</xdr:row>
          <xdr:rowOff>333375</xdr:rowOff>
        </xdr:to>
        <xdr:sp macro="" textlink="">
          <xdr:nvSpPr>
            <xdr:cNvPr id="19476" name="Option Button 20" hidden="1">
              <a:extLst>
                <a:ext uri="{63B3BB69-23CF-44E3-9099-C40C66FF867C}">
                  <a14:compatExt spid="_x0000_s19476"/>
                </a:ext>
                <a:ext uri="{FF2B5EF4-FFF2-40B4-BE49-F238E27FC236}">
                  <a16:creationId xmlns:a16="http://schemas.microsoft.com/office/drawing/2014/main" id="{00000000-0008-0000-0500-000014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18</xdr:row>
          <xdr:rowOff>0</xdr:rowOff>
        </xdr:from>
        <xdr:to>
          <xdr:col>6</xdr:col>
          <xdr:colOff>428625</xdr:colOff>
          <xdr:row>19</xdr:row>
          <xdr:rowOff>0</xdr:rowOff>
        </xdr:to>
        <xdr:sp macro="" textlink="">
          <xdr:nvSpPr>
            <xdr:cNvPr id="19477" name="Option Button 21" hidden="1">
              <a:extLst>
                <a:ext uri="{63B3BB69-23CF-44E3-9099-C40C66FF867C}">
                  <a14:compatExt spid="_x0000_s19477"/>
                </a:ext>
                <a:ext uri="{FF2B5EF4-FFF2-40B4-BE49-F238E27FC236}">
                  <a16:creationId xmlns:a16="http://schemas.microsoft.com/office/drawing/2014/main" id="{00000000-0008-0000-0500-000015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19</xdr:row>
          <xdr:rowOff>28575</xdr:rowOff>
        </xdr:from>
        <xdr:to>
          <xdr:col>6</xdr:col>
          <xdr:colOff>447675</xdr:colOff>
          <xdr:row>19</xdr:row>
          <xdr:rowOff>266700</xdr:rowOff>
        </xdr:to>
        <xdr:sp macro="" textlink="">
          <xdr:nvSpPr>
            <xdr:cNvPr id="19478" name="Option Button 22" hidden="1">
              <a:extLst>
                <a:ext uri="{63B3BB69-23CF-44E3-9099-C40C66FF867C}">
                  <a14:compatExt spid="_x0000_s19478"/>
                </a:ext>
                <a:ext uri="{FF2B5EF4-FFF2-40B4-BE49-F238E27FC236}">
                  <a16:creationId xmlns:a16="http://schemas.microsoft.com/office/drawing/2014/main" id="{00000000-0008-0000-0500-000016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20</xdr:row>
          <xdr:rowOff>38100</xdr:rowOff>
        </xdr:from>
        <xdr:to>
          <xdr:col>6</xdr:col>
          <xdr:colOff>447675</xdr:colOff>
          <xdr:row>20</xdr:row>
          <xdr:rowOff>257175</xdr:rowOff>
        </xdr:to>
        <xdr:sp macro="" textlink="">
          <xdr:nvSpPr>
            <xdr:cNvPr id="19479" name="Option Button 23" hidden="1">
              <a:extLst>
                <a:ext uri="{63B3BB69-23CF-44E3-9099-C40C66FF867C}">
                  <a14:compatExt spid="_x0000_s19479"/>
                </a:ext>
                <a:ext uri="{FF2B5EF4-FFF2-40B4-BE49-F238E27FC236}">
                  <a16:creationId xmlns:a16="http://schemas.microsoft.com/office/drawing/2014/main" id="{00000000-0008-0000-0500-000017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21</xdr:row>
          <xdr:rowOff>28575</xdr:rowOff>
        </xdr:from>
        <xdr:to>
          <xdr:col>6</xdr:col>
          <xdr:colOff>447675</xdr:colOff>
          <xdr:row>21</xdr:row>
          <xdr:rowOff>257175</xdr:rowOff>
        </xdr:to>
        <xdr:sp macro="" textlink="">
          <xdr:nvSpPr>
            <xdr:cNvPr id="19480" name="Option Button 24" hidden="1">
              <a:extLst>
                <a:ext uri="{63B3BB69-23CF-44E3-9099-C40C66FF867C}">
                  <a14:compatExt spid="_x0000_s19480"/>
                </a:ext>
                <a:ext uri="{FF2B5EF4-FFF2-40B4-BE49-F238E27FC236}">
                  <a16:creationId xmlns:a16="http://schemas.microsoft.com/office/drawing/2014/main" id="{00000000-0008-0000-0500-000018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7</xdr:col>
          <xdr:colOff>28575</xdr:colOff>
          <xdr:row>27</xdr:row>
          <xdr:rowOff>9525</xdr:rowOff>
        </xdr:to>
        <xdr:sp macro="" textlink="">
          <xdr:nvSpPr>
            <xdr:cNvPr id="19481" name="Group Box 25" hidden="1">
              <a:extLst>
                <a:ext uri="{63B3BB69-23CF-44E3-9099-C40C66FF867C}">
                  <a14:compatExt spid="_x0000_s19481"/>
                </a:ext>
                <a:ext uri="{FF2B5EF4-FFF2-40B4-BE49-F238E27FC236}">
                  <a16:creationId xmlns:a16="http://schemas.microsoft.com/office/drawing/2014/main" id="{00000000-0008-0000-0500-000019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276225</xdr:rowOff>
        </xdr:from>
        <xdr:to>
          <xdr:col>7</xdr:col>
          <xdr:colOff>28575</xdr:colOff>
          <xdr:row>32</xdr:row>
          <xdr:rowOff>28575</xdr:rowOff>
        </xdr:to>
        <xdr:sp macro="" textlink="">
          <xdr:nvSpPr>
            <xdr:cNvPr id="19487" name="Group Box 31" hidden="1">
              <a:extLst>
                <a:ext uri="{63B3BB69-23CF-44E3-9099-C40C66FF867C}">
                  <a14:compatExt spid="_x0000_s19487"/>
                </a:ext>
                <a:ext uri="{FF2B5EF4-FFF2-40B4-BE49-F238E27FC236}">
                  <a16:creationId xmlns:a16="http://schemas.microsoft.com/office/drawing/2014/main" id="{00000000-0008-0000-0500-00001F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27</xdr:row>
          <xdr:rowOff>28575</xdr:rowOff>
        </xdr:from>
        <xdr:to>
          <xdr:col>6</xdr:col>
          <xdr:colOff>447675</xdr:colOff>
          <xdr:row>27</xdr:row>
          <xdr:rowOff>266700</xdr:rowOff>
        </xdr:to>
        <xdr:sp macro="" textlink="">
          <xdr:nvSpPr>
            <xdr:cNvPr id="19488" name="Option Button 32" hidden="1">
              <a:extLst>
                <a:ext uri="{63B3BB69-23CF-44E3-9099-C40C66FF867C}">
                  <a14:compatExt spid="_x0000_s19488"/>
                </a:ext>
                <a:ext uri="{FF2B5EF4-FFF2-40B4-BE49-F238E27FC236}">
                  <a16:creationId xmlns:a16="http://schemas.microsoft.com/office/drawing/2014/main" id="{00000000-0008-0000-0500-000020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28</xdr:row>
          <xdr:rowOff>28575</xdr:rowOff>
        </xdr:from>
        <xdr:to>
          <xdr:col>6</xdr:col>
          <xdr:colOff>447675</xdr:colOff>
          <xdr:row>28</xdr:row>
          <xdr:rowOff>257175</xdr:rowOff>
        </xdr:to>
        <xdr:sp macro="" textlink="">
          <xdr:nvSpPr>
            <xdr:cNvPr id="19489" name="Option Button 33" hidden="1">
              <a:extLst>
                <a:ext uri="{63B3BB69-23CF-44E3-9099-C40C66FF867C}">
                  <a14:compatExt spid="_x0000_s19489"/>
                </a:ext>
                <a:ext uri="{FF2B5EF4-FFF2-40B4-BE49-F238E27FC236}">
                  <a16:creationId xmlns:a16="http://schemas.microsoft.com/office/drawing/2014/main" id="{00000000-0008-0000-0500-000021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29</xdr:row>
          <xdr:rowOff>9525</xdr:rowOff>
        </xdr:from>
        <xdr:to>
          <xdr:col>6</xdr:col>
          <xdr:colOff>447675</xdr:colOff>
          <xdr:row>29</xdr:row>
          <xdr:rowOff>276225</xdr:rowOff>
        </xdr:to>
        <xdr:sp macro="" textlink="">
          <xdr:nvSpPr>
            <xdr:cNvPr id="19490" name="Option Button 34" hidden="1">
              <a:extLst>
                <a:ext uri="{63B3BB69-23CF-44E3-9099-C40C66FF867C}">
                  <a14:compatExt spid="_x0000_s19490"/>
                </a:ext>
                <a:ext uri="{FF2B5EF4-FFF2-40B4-BE49-F238E27FC236}">
                  <a16:creationId xmlns:a16="http://schemas.microsoft.com/office/drawing/2014/main" id="{00000000-0008-0000-0500-00002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30</xdr:row>
          <xdr:rowOff>38100</xdr:rowOff>
        </xdr:from>
        <xdr:to>
          <xdr:col>6</xdr:col>
          <xdr:colOff>447675</xdr:colOff>
          <xdr:row>30</xdr:row>
          <xdr:rowOff>257175</xdr:rowOff>
        </xdr:to>
        <xdr:sp macro="" textlink="">
          <xdr:nvSpPr>
            <xdr:cNvPr id="19491" name="Option Button 35" hidden="1">
              <a:extLst>
                <a:ext uri="{63B3BB69-23CF-44E3-9099-C40C66FF867C}">
                  <a14:compatExt spid="_x0000_s19491"/>
                </a:ext>
                <a:ext uri="{FF2B5EF4-FFF2-40B4-BE49-F238E27FC236}">
                  <a16:creationId xmlns:a16="http://schemas.microsoft.com/office/drawing/2014/main" id="{00000000-0008-0000-0500-000023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31</xdr:row>
          <xdr:rowOff>66675</xdr:rowOff>
        </xdr:from>
        <xdr:to>
          <xdr:col>6</xdr:col>
          <xdr:colOff>447675</xdr:colOff>
          <xdr:row>31</xdr:row>
          <xdr:rowOff>333375</xdr:rowOff>
        </xdr:to>
        <xdr:sp macro="" textlink="">
          <xdr:nvSpPr>
            <xdr:cNvPr id="19492" name="Option Button 36" hidden="1">
              <a:extLst>
                <a:ext uri="{63B3BB69-23CF-44E3-9099-C40C66FF867C}">
                  <a14:compatExt spid="_x0000_s19492"/>
                </a:ext>
                <a:ext uri="{FF2B5EF4-FFF2-40B4-BE49-F238E27FC236}">
                  <a16:creationId xmlns:a16="http://schemas.microsoft.com/office/drawing/2014/main" id="{00000000-0008-0000-0500-000024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22</xdr:row>
          <xdr:rowOff>85725</xdr:rowOff>
        </xdr:from>
        <xdr:to>
          <xdr:col>6</xdr:col>
          <xdr:colOff>371475</xdr:colOff>
          <xdr:row>22</xdr:row>
          <xdr:rowOff>314325</xdr:rowOff>
        </xdr:to>
        <xdr:sp macro="" textlink="">
          <xdr:nvSpPr>
            <xdr:cNvPr id="19498" name="Option Button 42" hidden="1">
              <a:extLst>
                <a:ext uri="{63B3BB69-23CF-44E3-9099-C40C66FF867C}">
                  <a14:compatExt spid="_x0000_s19498"/>
                </a:ext>
                <a:ext uri="{FF2B5EF4-FFF2-40B4-BE49-F238E27FC236}">
                  <a16:creationId xmlns:a16="http://schemas.microsoft.com/office/drawing/2014/main" id="{00000000-0008-0000-05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23</xdr:row>
          <xdr:rowOff>57150</xdr:rowOff>
        </xdr:from>
        <xdr:to>
          <xdr:col>6</xdr:col>
          <xdr:colOff>371475</xdr:colOff>
          <xdr:row>23</xdr:row>
          <xdr:rowOff>276225</xdr:rowOff>
        </xdr:to>
        <xdr:sp macro="" textlink="">
          <xdr:nvSpPr>
            <xdr:cNvPr id="19499" name="Option Button 43" hidden="1">
              <a:extLst>
                <a:ext uri="{63B3BB69-23CF-44E3-9099-C40C66FF867C}">
                  <a14:compatExt spid="_x0000_s19499"/>
                </a:ext>
                <a:ext uri="{FF2B5EF4-FFF2-40B4-BE49-F238E27FC236}">
                  <a16:creationId xmlns:a16="http://schemas.microsoft.com/office/drawing/2014/main" id="{00000000-0008-0000-05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xdr:row>
          <xdr:rowOff>19050</xdr:rowOff>
        </xdr:from>
        <xdr:to>
          <xdr:col>6</xdr:col>
          <xdr:colOff>371475</xdr:colOff>
          <xdr:row>24</xdr:row>
          <xdr:rowOff>247650</xdr:rowOff>
        </xdr:to>
        <xdr:sp macro="" textlink="">
          <xdr:nvSpPr>
            <xdr:cNvPr id="19500" name="Option Button 44" hidden="1">
              <a:extLst>
                <a:ext uri="{63B3BB69-23CF-44E3-9099-C40C66FF867C}">
                  <a14:compatExt spid="_x0000_s19500"/>
                </a:ext>
                <a:ext uri="{FF2B5EF4-FFF2-40B4-BE49-F238E27FC236}">
                  <a16:creationId xmlns:a16="http://schemas.microsoft.com/office/drawing/2014/main" id="{00000000-0008-0000-05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25</xdr:row>
          <xdr:rowOff>19050</xdr:rowOff>
        </xdr:from>
        <xdr:to>
          <xdr:col>6</xdr:col>
          <xdr:colOff>371475</xdr:colOff>
          <xdr:row>25</xdr:row>
          <xdr:rowOff>247650</xdr:rowOff>
        </xdr:to>
        <xdr:sp macro="" textlink="">
          <xdr:nvSpPr>
            <xdr:cNvPr id="19501" name="Option Button 45" hidden="1">
              <a:extLst>
                <a:ext uri="{63B3BB69-23CF-44E3-9099-C40C66FF867C}">
                  <a14:compatExt spid="_x0000_s19501"/>
                </a:ext>
                <a:ext uri="{FF2B5EF4-FFF2-40B4-BE49-F238E27FC236}">
                  <a16:creationId xmlns:a16="http://schemas.microsoft.com/office/drawing/2014/main" id="{00000000-0008-0000-05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26</xdr:row>
          <xdr:rowOff>9525</xdr:rowOff>
        </xdr:from>
        <xdr:to>
          <xdr:col>6</xdr:col>
          <xdr:colOff>371475</xdr:colOff>
          <xdr:row>26</xdr:row>
          <xdr:rowOff>238125</xdr:rowOff>
        </xdr:to>
        <xdr:sp macro="" textlink="">
          <xdr:nvSpPr>
            <xdr:cNvPr id="19502" name="Option Button 46" hidden="1">
              <a:extLst>
                <a:ext uri="{63B3BB69-23CF-44E3-9099-C40C66FF867C}">
                  <a14:compatExt spid="_x0000_s19502"/>
                </a:ext>
                <a:ext uri="{FF2B5EF4-FFF2-40B4-BE49-F238E27FC236}">
                  <a16:creationId xmlns:a16="http://schemas.microsoft.com/office/drawing/2014/main" id="{00000000-0008-0000-05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xdr:row>
          <xdr:rowOff>114300</xdr:rowOff>
        </xdr:from>
        <xdr:to>
          <xdr:col>6</xdr:col>
          <xdr:colOff>447675</xdr:colOff>
          <xdr:row>7</xdr:row>
          <xdr:rowOff>342900</xdr:rowOff>
        </xdr:to>
        <xdr:sp macro="" textlink="">
          <xdr:nvSpPr>
            <xdr:cNvPr id="19506" name="Option Button 50" hidden="1">
              <a:extLst>
                <a:ext uri="{63B3BB69-23CF-44E3-9099-C40C66FF867C}">
                  <a14:compatExt spid="_x0000_s19506"/>
                </a:ext>
                <a:ext uri="{FF2B5EF4-FFF2-40B4-BE49-F238E27FC236}">
                  <a16:creationId xmlns:a16="http://schemas.microsoft.com/office/drawing/2014/main" id="{00000000-0008-0000-05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xdr:row>
          <xdr:rowOff>390525</xdr:rowOff>
        </xdr:from>
        <xdr:to>
          <xdr:col>6</xdr:col>
          <xdr:colOff>457200</xdr:colOff>
          <xdr:row>8</xdr:row>
          <xdr:rowOff>200025</xdr:rowOff>
        </xdr:to>
        <xdr:sp macro="" textlink="">
          <xdr:nvSpPr>
            <xdr:cNvPr id="19512" name="Option Button 56" hidden="1">
              <a:extLst>
                <a:ext uri="{63B3BB69-23CF-44E3-9099-C40C66FF867C}">
                  <a14:compatExt spid="_x0000_s19512"/>
                </a:ext>
                <a:ext uri="{FF2B5EF4-FFF2-40B4-BE49-F238E27FC236}">
                  <a16:creationId xmlns:a16="http://schemas.microsoft.com/office/drawing/2014/main" id="{00000000-0008-0000-05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8</xdr:row>
          <xdr:rowOff>257175</xdr:rowOff>
        </xdr:from>
        <xdr:to>
          <xdr:col>6</xdr:col>
          <xdr:colOff>457200</xdr:colOff>
          <xdr:row>9</xdr:row>
          <xdr:rowOff>219075</xdr:rowOff>
        </xdr:to>
        <xdr:sp macro="" textlink="">
          <xdr:nvSpPr>
            <xdr:cNvPr id="19513" name="Option Button 57" hidden="1">
              <a:extLst>
                <a:ext uri="{63B3BB69-23CF-44E3-9099-C40C66FF867C}">
                  <a14:compatExt spid="_x0000_s19513"/>
                </a:ext>
                <a:ext uri="{FF2B5EF4-FFF2-40B4-BE49-F238E27FC236}">
                  <a16:creationId xmlns:a16="http://schemas.microsoft.com/office/drawing/2014/main" id="{00000000-0008-0000-05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9</xdr:row>
          <xdr:rowOff>266700</xdr:rowOff>
        </xdr:from>
        <xdr:to>
          <xdr:col>6</xdr:col>
          <xdr:colOff>457200</xdr:colOff>
          <xdr:row>10</xdr:row>
          <xdr:rowOff>228600</xdr:rowOff>
        </xdr:to>
        <xdr:sp macro="" textlink="">
          <xdr:nvSpPr>
            <xdr:cNvPr id="19515" name="Option Button 59" hidden="1">
              <a:extLst>
                <a:ext uri="{63B3BB69-23CF-44E3-9099-C40C66FF867C}">
                  <a14:compatExt spid="_x0000_s19515"/>
                </a:ext>
                <a:ext uri="{FF2B5EF4-FFF2-40B4-BE49-F238E27FC236}">
                  <a16:creationId xmlns:a16="http://schemas.microsoft.com/office/drawing/2014/main" id="{00000000-0008-0000-05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11</xdr:row>
          <xdr:rowOff>9525</xdr:rowOff>
        </xdr:from>
        <xdr:to>
          <xdr:col>6</xdr:col>
          <xdr:colOff>457200</xdr:colOff>
          <xdr:row>11</xdr:row>
          <xdr:rowOff>228600</xdr:rowOff>
        </xdr:to>
        <xdr:sp macro="" textlink="">
          <xdr:nvSpPr>
            <xdr:cNvPr id="19520" name="Option Button 64" hidden="1">
              <a:extLst>
                <a:ext uri="{63B3BB69-23CF-44E3-9099-C40C66FF867C}">
                  <a14:compatExt spid="_x0000_s19520"/>
                </a:ext>
                <a:ext uri="{FF2B5EF4-FFF2-40B4-BE49-F238E27FC236}">
                  <a16:creationId xmlns:a16="http://schemas.microsoft.com/office/drawing/2014/main" id="{00000000-0008-0000-05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xdr:row>
          <xdr:rowOff>95250</xdr:rowOff>
        </xdr:from>
        <xdr:to>
          <xdr:col>6</xdr:col>
          <xdr:colOff>457200</xdr:colOff>
          <xdr:row>2</xdr:row>
          <xdr:rowOff>314325</xdr:rowOff>
        </xdr:to>
        <xdr:sp macro="" textlink="">
          <xdr:nvSpPr>
            <xdr:cNvPr id="19522" name="Option Button 66" hidden="1">
              <a:extLst>
                <a:ext uri="{63B3BB69-23CF-44E3-9099-C40C66FF867C}">
                  <a14:compatExt spid="_x0000_s19522"/>
                </a:ext>
                <a:ext uri="{FF2B5EF4-FFF2-40B4-BE49-F238E27FC236}">
                  <a16:creationId xmlns:a16="http://schemas.microsoft.com/office/drawing/2014/main" id="{00000000-0008-0000-05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xdr:row>
          <xdr:rowOff>76200</xdr:rowOff>
        </xdr:from>
        <xdr:to>
          <xdr:col>6</xdr:col>
          <xdr:colOff>457200</xdr:colOff>
          <xdr:row>4</xdr:row>
          <xdr:rowOff>28575</xdr:rowOff>
        </xdr:to>
        <xdr:sp macro="" textlink="">
          <xdr:nvSpPr>
            <xdr:cNvPr id="19523" name="Option Button 67" hidden="1">
              <a:extLst>
                <a:ext uri="{63B3BB69-23CF-44E3-9099-C40C66FF867C}">
                  <a14:compatExt spid="_x0000_s19523"/>
                </a:ext>
                <a:ext uri="{FF2B5EF4-FFF2-40B4-BE49-F238E27FC236}">
                  <a16:creationId xmlns:a16="http://schemas.microsoft.com/office/drawing/2014/main" id="{00000000-0008-0000-05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xdr:row>
          <xdr:rowOff>142875</xdr:rowOff>
        </xdr:from>
        <xdr:to>
          <xdr:col>6</xdr:col>
          <xdr:colOff>476250</xdr:colOff>
          <xdr:row>4</xdr:row>
          <xdr:rowOff>361950</xdr:rowOff>
        </xdr:to>
        <xdr:sp macro="" textlink="">
          <xdr:nvSpPr>
            <xdr:cNvPr id="19524" name="Option Button 68" hidden="1">
              <a:extLst>
                <a:ext uri="{63B3BB69-23CF-44E3-9099-C40C66FF867C}">
                  <a14:compatExt spid="_x0000_s19524"/>
                </a:ext>
                <a:ext uri="{FF2B5EF4-FFF2-40B4-BE49-F238E27FC236}">
                  <a16:creationId xmlns:a16="http://schemas.microsoft.com/office/drawing/2014/main" id="{00000000-0008-0000-05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xdr:row>
          <xdr:rowOff>133350</xdr:rowOff>
        </xdr:from>
        <xdr:to>
          <xdr:col>6</xdr:col>
          <xdr:colOff>476250</xdr:colOff>
          <xdr:row>5</xdr:row>
          <xdr:rowOff>361950</xdr:rowOff>
        </xdr:to>
        <xdr:sp macro="" textlink="">
          <xdr:nvSpPr>
            <xdr:cNvPr id="19525" name="Option Button 69" hidden="1">
              <a:extLst>
                <a:ext uri="{63B3BB69-23CF-44E3-9099-C40C66FF867C}">
                  <a14:compatExt spid="_x0000_s19525"/>
                </a:ext>
                <a:ext uri="{FF2B5EF4-FFF2-40B4-BE49-F238E27FC236}">
                  <a16:creationId xmlns:a16="http://schemas.microsoft.com/office/drawing/2014/main" id="{00000000-0008-0000-05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xdr:row>
          <xdr:rowOff>57150</xdr:rowOff>
        </xdr:from>
        <xdr:to>
          <xdr:col>6</xdr:col>
          <xdr:colOff>457200</xdr:colOff>
          <xdr:row>6</xdr:row>
          <xdr:rowOff>314325</xdr:rowOff>
        </xdr:to>
        <xdr:sp macro="" textlink="">
          <xdr:nvSpPr>
            <xdr:cNvPr id="19526" name="Option Button 70" hidden="1">
              <a:extLst>
                <a:ext uri="{63B3BB69-23CF-44E3-9099-C40C66FF867C}">
                  <a14:compatExt spid="_x0000_s19526"/>
                </a:ext>
                <a:ext uri="{FF2B5EF4-FFF2-40B4-BE49-F238E27FC236}">
                  <a16:creationId xmlns:a16="http://schemas.microsoft.com/office/drawing/2014/main" id="{00000000-0008-0000-05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xdr:row>
          <xdr:rowOff>9525</xdr:rowOff>
        </xdr:from>
        <xdr:to>
          <xdr:col>7</xdr:col>
          <xdr:colOff>38100</xdr:colOff>
          <xdr:row>7</xdr:row>
          <xdr:rowOff>0</xdr:rowOff>
        </xdr:to>
        <xdr:sp macro="" textlink="">
          <xdr:nvSpPr>
            <xdr:cNvPr id="33793" name="Group Box 1" hidden="1">
              <a:extLst>
                <a:ext uri="{63B3BB69-23CF-44E3-9099-C40C66FF867C}">
                  <a14:compatExt spid="_x0000_s33793"/>
                </a:ext>
                <a:ext uri="{FF2B5EF4-FFF2-40B4-BE49-F238E27FC236}">
                  <a16:creationId xmlns:a16="http://schemas.microsoft.com/office/drawing/2014/main" id="{00000000-0008-0000-0600-0000018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xdr:row>
          <xdr:rowOff>38100</xdr:rowOff>
        </xdr:from>
        <xdr:to>
          <xdr:col>6</xdr:col>
          <xdr:colOff>457200</xdr:colOff>
          <xdr:row>2</xdr:row>
          <xdr:rowOff>295275</xdr:rowOff>
        </xdr:to>
        <xdr:sp macro="" textlink="">
          <xdr:nvSpPr>
            <xdr:cNvPr id="33794" name="Option Button 2" hidden="1">
              <a:extLst>
                <a:ext uri="{63B3BB69-23CF-44E3-9099-C40C66FF867C}">
                  <a14:compatExt spid="_x0000_s33794"/>
                </a:ext>
                <a:ext uri="{FF2B5EF4-FFF2-40B4-BE49-F238E27FC236}">
                  <a16:creationId xmlns:a16="http://schemas.microsoft.com/office/drawing/2014/main" id="{00000000-0008-0000-0600-000002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xdr:row>
          <xdr:rowOff>28575</xdr:rowOff>
        </xdr:from>
        <xdr:to>
          <xdr:col>7</xdr:col>
          <xdr:colOff>0</xdr:colOff>
          <xdr:row>3</xdr:row>
          <xdr:rowOff>257175</xdr:rowOff>
        </xdr:to>
        <xdr:sp macro="" textlink="">
          <xdr:nvSpPr>
            <xdr:cNvPr id="33795" name="Option Button 3" hidden="1">
              <a:extLst>
                <a:ext uri="{63B3BB69-23CF-44E3-9099-C40C66FF867C}">
                  <a14:compatExt spid="_x0000_s33795"/>
                </a:ext>
                <a:ext uri="{FF2B5EF4-FFF2-40B4-BE49-F238E27FC236}">
                  <a16:creationId xmlns:a16="http://schemas.microsoft.com/office/drawing/2014/main" id="{00000000-0008-0000-0600-000003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xdr:row>
          <xdr:rowOff>38100</xdr:rowOff>
        </xdr:from>
        <xdr:to>
          <xdr:col>6</xdr:col>
          <xdr:colOff>390525</xdr:colOff>
          <xdr:row>4</xdr:row>
          <xdr:rowOff>257175</xdr:rowOff>
        </xdr:to>
        <xdr:sp macro="" textlink="">
          <xdr:nvSpPr>
            <xdr:cNvPr id="33796" name="Option Button 4" hidden="1">
              <a:extLst>
                <a:ext uri="{63B3BB69-23CF-44E3-9099-C40C66FF867C}">
                  <a14:compatExt spid="_x0000_s33796"/>
                </a:ext>
                <a:ext uri="{FF2B5EF4-FFF2-40B4-BE49-F238E27FC236}">
                  <a16:creationId xmlns:a16="http://schemas.microsoft.com/office/drawing/2014/main" id="{00000000-0008-0000-0600-000004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xdr:row>
          <xdr:rowOff>28575</xdr:rowOff>
        </xdr:from>
        <xdr:to>
          <xdr:col>7</xdr:col>
          <xdr:colOff>28575</xdr:colOff>
          <xdr:row>5</xdr:row>
          <xdr:rowOff>257175</xdr:rowOff>
        </xdr:to>
        <xdr:sp macro="" textlink="">
          <xdr:nvSpPr>
            <xdr:cNvPr id="33797" name="Option Button 5" hidden="1">
              <a:extLst>
                <a:ext uri="{63B3BB69-23CF-44E3-9099-C40C66FF867C}">
                  <a14:compatExt spid="_x0000_s33797"/>
                </a:ext>
                <a:ext uri="{FF2B5EF4-FFF2-40B4-BE49-F238E27FC236}">
                  <a16:creationId xmlns:a16="http://schemas.microsoft.com/office/drawing/2014/main" id="{00000000-0008-0000-0600-000005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xdr:row>
          <xdr:rowOff>9525</xdr:rowOff>
        </xdr:from>
        <xdr:to>
          <xdr:col>6</xdr:col>
          <xdr:colOff>381000</xdr:colOff>
          <xdr:row>6</xdr:row>
          <xdr:rowOff>238125</xdr:rowOff>
        </xdr:to>
        <xdr:sp macro="" textlink="">
          <xdr:nvSpPr>
            <xdr:cNvPr id="33798" name="Option Button 6" hidden="1">
              <a:extLst>
                <a:ext uri="{63B3BB69-23CF-44E3-9099-C40C66FF867C}">
                  <a14:compatExt spid="_x0000_s33798"/>
                </a:ext>
                <a:ext uri="{FF2B5EF4-FFF2-40B4-BE49-F238E27FC236}">
                  <a16:creationId xmlns:a16="http://schemas.microsoft.com/office/drawing/2014/main" id="{00000000-0008-0000-0600-000006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7</xdr:col>
          <xdr:colOff>38100</xdr:colOff>
          <xdr:row>11</xdr:row>
          <xdr:rowOff>381000</xdr:rowOff>
        </xdr:to>
        <xdr:sp macro="" textlink="">
          <xdr:nvSpPr>
            <xdr:cNvPr id="33799" name="Group Box 7" hidden="1">
              <a:extLst>
                <a:ext uri="{63B3BB69-23CF-44E3-9099-C40C66FF867C}">
                  <a14:compatExt spid="_x0000_s33799"/>
                </a:ext>
                <a:ext uri="{FF2B5EF4-FFF2-40B4-BE49-F238E27FC236}">
                  <a16:creationId xmlns:a16="http://schemas.microsoft.com/office/drawing/2014/main" id="{00000000-0008-0000-0600-0000078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xdr:row>
          <xdr:rowOff>104775</xdr:rowOff>
        </xdr:from>
        <xdr:to>
          <xdr:col>6</xdr:col>
          <xdr:colOff>447675</xdr:colOff>
          <xdr:row>7</xdr:row>
          <xdr:rowOff>352425</xdr:rowOff>
        </xdr:to>
        <xdr:sp macro="" textlink="">
          <xdr:nvSpPr>
            <xdr:cNvPr id="33800" name="Option Button 8" hidden="1">
              <a:extLst>
                <a:ext uri="{63B3BB69-23CF-44E3-9099-C40C66FF867C}">
                  <a14:compatExt spid="_x0000_s33800"/>
                </a:ext>
                <a:ext uri="{FF2B5EF4-FFF2-40B4-BE49-F238E27FC236}">
                  <a16:creationId xmlns:a16="http://schemas.microsoft.com/office/drawing/2014/main" id="{00000000-0008-0000-0600-000008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xdr:row>
          <xdr:rowOff>28575</xdr:rowOff>
        </xdr:from>
        <xdr:to>
          <xdr:col>6</xdr:col>
          <xdr:colOff>447675</xdr:colOff>
          <xdr:row>8</xdr:row>
          <xdr:rowOff>266700</xdr:rowOff>
        </xdr:to>
        <xdr:sp macro="" textlink="">
          <xdr:nvSpPr>
            <xdr:cNvPr id="33801" name="Option Button 9" hidden="1">
              <a:extLst>
                <a:ext uri="{63B3BB69-23CF-44E3-9099-C40C66FF867C}">
                  <a14:compatExt spid="_x0000_s33801"/>
                </a:ext>
                <a:ext uri="{FF2B5EF4-FFF2-40B4-BE49-F238E27FC236}">
                  <a16:creationId xmlns:a16="http://schemas.microsoft.com/office/drawing/2014/main" id="{00000000-0008-0000-0600-000009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28575</xdr:rowOff>
        </xdr:from>
        <xdr:to>
          <xdr:col>6</xdr:col>
          <xdr:colOff>371475</xdr:colOff>
          <xdr:row>9</xdr:row>
          <xdr:rowOff>295275</xdr:rowOff>
        </xdr:to>
        <xdr:sp macro="" textlink="">
          <xdr:nvSpPr>
            <xdr:cNvPr id="33802" name="Option Button 10" hidden="1">
              <a:extLst>
                <a:ext uri="{63B3BB69-23CF-44E3-9099-C40C66FF867C}">
                  <a14:compatExt spid="_x0000_s33802"/>
                </a:ext>
                <a:ext uri="{FF2B5EF4-FFF2-40B4-BE49-F238E27FC236}">
                  <a16:creationId xmlns:a16="http://schemas.microsoft.com/office/drawing/2014/main" id="{00000000-0008-0000-0600-00000A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xdr:row>
          <xdr:rowOff>0</xdr:rowOff>
        </xdr:from>
        <xdr:to>
          <xdr:col>6</xdr:col>
          <xdr:colOff>390525</xdr:colOff>
          <xdr:row>10</xdr:row>
          <xdr:rowOff>295275</xdr:rowOff>
        </xdr:to>
        <xdr:sp macro="" textlink="">
          <xdr:nvSpPr>
            <xdr:cNvPr id="33803" name="Option Button 11" hidden="1">
              <a:extLst>
                <a:ext uri="{63B3BB69-23CF-44E3-9099-C40C66FF867C}">
                  <a14:compatExt spid="_x0000_s33803"/>
                </a:ext>
                <a:ext uri="{FF2B5EF4-FFF2-40B4-BE49-F238E27FC236}">
                  <a16:creationId xmlns:a16="http://schemas.microsoft.com/office/drawing/2014/main" id="{00000000-0008-0000-0600-00000B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7</xdr:col>
          <xdr:colOff>38100</xdr:colOff>
          <xdr:row>17</xdr:row>
          <xdr:rowOff>0</xdr:rowOff>
        </xdr:to>
        <xdr:sp macro="" textlink="">
          <xdr:nvSpPr>
            <xdr:cNvPr id="33805" name="Group Box 13" hidden="1">
              <a:extLst>
                <a:ext uri="{63B3BB69-23CF-44E3-9099-C40C66FF867C}">
                  <a14:compatExt spid="_x0000_s33805"/>
                </a:ext>
                <a:ext uri="{FF2B5EF4-FFF2-40B4-BE49-F238E27FC236}">
                  <a16:creationId xmlns:a16="http://schemas.microsoft.com/office/drawing/2014/main" id="{00000000-0008-0000-0600-00000D8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12</xdr:row>
          <xdr:rowOff>9525</xdr:rowOff>
        </xdr:from>
        <xdr:to>
          <xdr:col>6</xdr:col>
          <xdr:colOff>447675</xdr:colOff>
          <xdr:row>12</xdr:row>
          <xdr:rowOff>295275</xdr:rowOff>
        </xdr:to>
        <xdr:sp macro="" textlink="">
          <xdr:nvSpPr>
            <xdr:cNvPr id="33806" name="Option Button 14" hidden="1">
              <a:extLst>
                <a:ext uri="{63B3BB69-23CF-44E3-9099-C40C66FF867C}">
                  <a14:compatExt spid="_x0000_s33806"/>
                </a:ext>
                <a:ext uri="{FF2B5EF4-FFF2-40B4-BE49-F238E27FC236}">
                  <a16:creationId xmlns:a16="http://schemas.microsoft.com/office/drawing/2014/main" id="{00000000-0008-0000-0600-00000E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9525</xdr:rowOff>
        </xdr:from>
        <xdr:to>
          <xdr:col>7</xdr:col>
          <xdr:colOff>0</xdr:colOff>
          <xdr:row>14</xdr:row>
          <xdr:rowOff>9525</xdr:rowOff>
        </xdr:to>
        <xdr:sp macro="" textlink="">
          <xdr:nvSpPr>
            <xdr:cNvPr id="33807" name="Option Button 15" hidden="1">
              <a:extLst>
                <a:ext uri="{63B3BB69-23CF-44E3-9099-C40C66FF867C}">
                  <a14:compatExt spid="_x0000_s33807"/>
                </a:ext>
                <a:ext uri="{FF2B5EF4-FFF2-40B4-BE49-F238E27FC236}">
                  <a16:creationId xmlns:a16="http://schemas.microsoft.com/office/drawing/2014/main" id="{00000000-0008-0000-0600-00000F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xdr:row>
          <xdr:rowOff>28575</xdr:rowOff>
        </xdr:from>
        <xdr:to>
          <xdr:col>6</xdr:col>
          <xdr:colOff>447675</xdr:colOff>
          <xdr:row>14</xdr:row>
          <xdr:rowOff>257175</xdr:rowOff>
        </xdr:to>
        <xdr:sp macro="" textlink="">
          <xdr:nvSpPr>
            <xdr:cNvPr id="33808" name="Option Button 16" hidden="1">
              <a:extLst>
                <a:ext uri="{63B3BB69-23CF-44E3-9099-C40C66FF867C}">
                  <a14:compatExt spid="_x0000_s33808"/>
                </a:ext>
                <a:ext uri="{FF2B5EF4-FFF2-40B4-BE49-F238E27FC236}">
                  <a16:creationId xmlns:a16="http://schemas.microsoft.com/office/drawing/2014/main" id="{00000000-0008-0000-0600-000010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15</xdr:row>
          <xdr:rowOff>38100</xdr:rowOff>
        </xdr:from>
        <xdr:to>
          <xdr:col>6</xdr:col>
          <xdr:colOff>447675</xdr:colOff>
          <xdr:row>15</xdr:row>
          <xdr:rowOff>266700</xdr:rowOff>
        </xdr:to>
        <xdr:sp macro="" textlink="">
          <xdr:nvSpPr>
            <xdr:cNvPr id="33809" name="Option Button 17" hidden="1">
              <a:extLst>
                <a:ext uri="{63B3BB69-23CF-44E3-9099-C40C66FF867C}">
                  <a14:compatExt spid="_x0000_s33809"/>
                </a:ext>
                <a:ext uri="{FF2B5EF4-FFF2-40B4-BE49-F238E27FC236}">
                  <a16:creationId xmlns:a16="http://schemas.microsoft.com/office/drawing/2014/main" id="{00000000-0008-0000-0600-000011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16</xdr:row>
          <xdr:rowOff>28575</xdr:rowOff>
        </xdr:from>
        <xdr:to>
          <xdr:col>6</xdr:col>
          <xdr:colOff>409575</xdr:colOff>
          <xdr:row>16</xdr:row>
          <xdr:rowOff>257175</xdr:rowOff>
        </xdr:to>
        <xdr:sp macro="" textlink="">
          <xdr:nvSpPr>
            <xdr:cNvPr id="33810" name="Option Button 18" hidden="1">
              <a:extLst>
                <a:ext uri="{63B3BB69-23CF-44E3-9099-C40C66FF867C}">
                  <a14:compatExt spid="_x0000_s33810"/>
                </a:ext>
                <a:ext uri="{FF2B5EF4-FFF2-40B4-BE49-F238E27FC236}">
                  <a16:creationId xmlns:a16="http://schemas.microsoft.com/office/drawing/2014/main" id="{00000000-0008-0000-0600-000012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7</xdr:col>
          <xdr:colOff>38100</xdr:colOff>
          <xdr:row>22</xdr:row>
          <xdr:rowOff>0</xdr:rowOff>
        </xdr:to>
        <xdr:sp macro="" textlink="">
          <xdr:nvSpPr>
            <xdr:cNvPr id="33811" name="Group Box 19" hidden="1">
              <a:extLst>
                <a:ext uri="{63B3BB69-23CF-44E3-9099-C40C66FF867C}">
                  <a14:compatExt spid="_x0000_s33811"/>
                </a:ext>
                <a:ext uri="{FF2B5EF4-FFF2-40B4-BE49-F238E27FC236}">
                  <a16:creationId xmlns:a16="http://schemas.microsoft.com/office/drawing/2014/main" id="{00000000-0008-0000-0600-0000138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17</xdr:row>
          <xdr:rowOff>76200</xdr:rowOff>
        </xdr:from>
        <xdr:to>
          <xdr:col>6</xdr:col>
          <xdr:colOff>447675</xdr:colOff>
          <xdr:row>17</xdr:row>
          <xdr:rowOff>333375</xdr:rowOff>
        </xdr:to>
        <xdr:sp macro="" textlink="">
          <xdr:nvSpPr>
            <xdr:cNvPr id="33812" name="Option Button 20" hidden="1">
              <a:extLst>
                <a:ext uri="{63B3BB69-23CF-44E3-9099-C40C66FF867C}">
                  <a14:compatExt spid="_x0000_s33812"/>
                </a:ext>
                <a:ext uri="{FF2B5EF4-FFF2-40B4-BE49-F238E27FC236}">
                  <a16:creationId xmlns:a16="http://schemas.microsoft.com/office/drawing/2014/main" id="{00000000-0008-0000-0600-000014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18</xdr:row>
          <xdr:rowOff>104775</xdr:rowOff>
        </xdr:from>
        <xdr:to>
          <xdr:col>6</xdr:col>
          <xdr:colOff>447675</xdr:colOff>
          <xdr:row>18</xdr:row>
          <xdr:rowOff>390525</xdr:rowOff>
        </xdr:to>
        <xdr:sp macro="" textlink="">
          <xdr:nvSpPr>
            <xdr:cNvPr id="33813" name="Option Button 21" hidden="1">
              <a:extLst>
                <a:ext uri="{63B3BB69-23CF-44E3-9099-C40C66FF867C}">
                  <a14:compatExt spid="_x0000_s33813"/>
                </a:ext>
                <a:ext uri="{FF2B5EF4-FFF2-40B4-BE49-F238E27FC236}">
                  <a16:creationId xmlns:a16="http://schemas.microsoft.com/office/drawing/2014/main" id="{00000000-0008-0000-0600-000015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19</xdr:row>
          <xdr:rowOff>142875</xdr:rowOff>
        </xdr:from>
        <xdr:to>
          <xdr:col>6</xdr:col>
          <xdr:colOff>466725</xdr:colOff>
          <xdr:row>19</xdr:row>
          <xdr:rowOff>371475</xdr:rowOff>
        </xdr:to>
        <xdr:sp macro="" textlink="">
          <xdr:nvSpPr>
            <xdr:cNvPr id="33814" name="Option Button 22" hidden="1">
              <a:extLst>
                <a:ext uri="{63B3BB69-23CF-44E3-9099-C40C66FF867C}">
                  <a14:compatExt spid="_x0000_s33814"/>
                </a:ext>
                <a:ext uri="{FF2B5EF4-FFF2-40B4-BE49-F238E27FC236}">
                  <a16:creationId xmlns:a16="http://schemas.microsoft.com/office/drawing/2014/main" id="{00000000-0008-0000-0600-000016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20</xdr:row>
          <xdr:rowOff>152400</xdr:rowOff>
        </xdr:from>
        <xdr:to>
          <xdr:col>6</xdr:col>
          <xdr:colOff>466725</xdr:colOff>
          <xdr:row>20</xdr:row>
          <xdr:rowOff>371475</xdr:rowOff>
        </xdr:to>
        <xdr:sp macro="" textlink="">
          <xdr:nvSpPr>
            <xdr:cNvPr id="33815" name="Option Button 23" hidden="1">
              <a:extLst>
                <a:ext uri="{63B3BB69-23CF-44E3-9099-C40C66FF867C}">
                  <a14:compatExt spid="_x0000_s33815"/>
                </a:ext>
                <a:ext uri="{FF2B5EF4-FFF2-40B4-BE49-F238E27FC236}">
                  <a16:creationId xmlns:a16="http://schemas.microsoft.com/office/drawing/2014/main" id="{00000000-0008-0000-0600-000017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xdr:row>
          <xdr:rowOff>66675</xdr:rowOff>
        </xdr:from>
        <xdr:to>
          <xdr:col>6</xdr:col>
          <xdr:colOff>457200</xdr:colOff>
          <xdr:row>11</xdr:row>
          <xdr:rowOff>276225</xdr:rowOff>
        </xdr:to>
        <xdr:sp macro="" textlink="">
          <xdr:nvSpPr>
            <xdr:cNvPr id="33835" name="Option Button 43" hidden="1">
              <a:extLst>
                <a:ext uri="{63B3BB69-23CF-44E3-9099-C40C66FF867C}">
                  <a14:compatExt spid="_x0000_s33835"/>
                </a:ext>
                <a:ext uri="{FF2B5EF4-FFF2-40B4-BE49-F238E27FC236}">
                  <a16:creationId xmlns:a16="http://schemas.microsoft.com/office/drawing/2014/main" id="{00000000-0008-0000-0600-00002B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21</xdr:row>
          <xdr:rowOff>85725</xdr:rowOff>
        </xdr:from>
        <xdr:to>
          <xdr:col>6</xdr:col>
          <xdr:colOff>485775</xdr:colOff>
          <xdr:row>21</xdr:row>
          <xdr:rowOff>457200</xdr:rowOff>
        </xdr:to>
        <xdr:sp macro="" textlink="">
          <xdr:nvSpPr>
            <xdr:cNvPr id="33836" name="Option Button 44" hidden="1">
              <a:extLst>
                <a:ext uri="{63B3BB69-23CF-44E3-9099-C40C66FF867C}">
                  <a14:compatExt spid="_x0000_s33836"/>
                </a:ext>
                <a:ext uri="{FF2B5EF4-FFF2-40B4-BE49-F238E27FC236}">
                  <a16:creationId xmlns:a16="http://schemas.microsoft.com/office/drawing/2014/main" id="{00000000-0008-0000-0600-00002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22</xdr:row>
          <xdr:rowOff>104775</xdr:rowOff>
        </xdr:from>
        <xdr:to>
          <xdr:col>6</xdr:col>
          <xdr:colOff>438150</xdr:colOff>
          <xdr:row>22</xdr:row>
          <xdr:rowOff>419100</xdr:rowOff>
        </xdr:to>
        <xdr:sp macro="" textlink="">
          <xdr:nvSpPr>
            <xdr:cNvPr id="33837" name="Option Button 45" hidden="1">
              <a:extLst>
                <a:ext uri="{63B3BB69-23CF-44E3-9099-C40C66FF867C}">
                  <a14:compatExt spid="_x0000_s33837"/>
                </a:ext>
                <a:ext uri="{FF2B5EF4-FFF2-40B4-BE49-F238E27FC236}">
                  <a16:creationId xmlns:a16="http://schemas.microsoft.com/office/drawing/2014/main" id="{00000000-0008-0000-0600-00002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23</xdr:row>
          <xdr:rowOff>180975</xdr:rowOff>
        </xdr:from>
        <xdr:to>
          <xdr:col>6</xdr:col>
          <xdr:colOff>419100</xdr:colOff>
          <xdr:row>23</xdr:row>
          <xdr:rowOff>438150</xdr:rowOff>
        </xdr:to>
        <xdr:sp macro="" textlink="">
          <xdr:nvSpPr>
            <xdr:cNvPr id="33838" name="Option Button 46" hidden="1">
              <a:extLst>
                <a:ext uri="{63B3BB69-23CF-44E3-9099-C40C66FF867C}">
                  <a14:compatExt spid="_x0000_s33838"/>
                </a:ext>
                <a:ext uri="{FF2B5EF4-FFF2-40B4-BE49-F238E27FC236}">
                  <a16:creationId xmlns:a16="http://schemas.microsoft.com/office/drawing/2014/main" id="{00000000-0008-0000-0600-00002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24</xdr:row>
          <xdr:rowOff>152400</xdr:rowOff>
        </xdr:from>
        <xdr:to>
          <xdr:col>6</xdr:col>
          <xdr:colOff>438150</xdr:colOff>
          <xdr:row>24</xdr:row>
          <xdr:rowOff>504825</xdr:rowOff>
        </xdr:to>
        <xdr:sp macro="" textlink="">
          <xdr:nvSpPr>
            <xdr:cNvPr id="33839" name="Option Button 47" hidden="1">
              <a:extLst>
                <a:ext uri="{63B3BB69-23CF-44E3-9099-C40C66FF867C}">
                  <a14:compatExt spid="_x0000_s33839"/>
                </a:ext>
                <a:ext uri="{FF2B5EF4-FFF2-40B4-BE49-F238E27FC236}">
                  <a16:creationId xmlns:a16="http://schemas.microsoft.com/office/drawing/2014/main" id="{00000000-0008-0000-0600-00002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25</xdr:row>
          <xdr:rowOff>95250</xdr:rowOff>
        </xdr:from>
        <xdr:to>
          <xdr:col>6</xdr:col>
          <xdr:colOff>419100</xdr:colOff>
          <xdr:row>25</xdr:row>
          <xdr:rowOff>352425</xdr:rowOff>
        </xdr:to>
        <xdr:sp macro="" textlink="">
          <xdr:nvSpPr>
            <xdr:cNvPr id="33840" name="Option Button 48" hidden="1">
              <a:extLst>
                <a:ext uri="{63B3BB69-23CF-44E3-9099-C40C66FF867C}">
                  <a14:compatExt spid="_x0000_s33840"/>
                </a:ext>
                <a:ext uri="{FF2B5EF4-FFF2-40B4-BE49-F238E27FC236}">
                  <a16:creationId xmlns:a16="http://schemas.microsoft.com/office/drawing/2014/main" id="{00000000-0008-0000-0600-00003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26</xdr:row>
          <xdr:rowOff>161925</xdr:rowOff>
        </xdr:from>
        <xdr:to>
          <xdr:col>6</xdr:col>
          <xdr:colOff>438150</xdr:colOff>
          <xdr:row>26</xdr:row>
          <xdr:rowOff>400050</xdr:rowOff>
        </xdr:to>
        <xdr:sp macro="" textlink="">
          <xdr:nvSpPr>
            <xdr:cNvPr id="33841" name="Option Button 49" hidden="1">
              <a:extLst>
                <a:ext uri="{63B3BB69-23CF-44E3-9099-C40C66FF867C}">
                  <a14:compatExt spid="_x0000_s33841"/>
                </a:ext>
                <a:ext uri="{FF2B5EF4-FFF2-40B4-BE49-F238E27FC236}">
                  <a16:creationId xmlns:a16="http://schemas.microsoft.com/office/drawing/2014/main" id="{00000000-0008-0000-0600-00003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xdr:row>
          <xdr:rowOff>552450</xdr:rowOff>
        </xdr:from>
        <xdr:to>
          <xdr:col>7</xdr:col>
          <xdr:colOff>9525</xdr:colOff>
          <xdr:row>26</xdr:row>
          <xdr:rowOff>438150</xdr:rowOff>
        </xdr:to>
        <xdr:sp macro="" textlink="">
          <xdr:nvSpPr>
            <xdr:cNvPr id="33842" name="Group Box 50" hidden="1">
              <a:extLst>
                <a:ext uri="{63B3BB69-23CF-44E3-9099-C40C66FF867C}">
                  <a14:compatExt spid="_x0000_s33842"/>
                </a:ext>
                <a:ext uri="{FF2B5EF4-FFF2-40B4-BE49-F238E27FC236}">
                  <a16:creationId xmlns:a16="http://schemas.microsoft.com/office/drawing/2014/main" id="{00000000-0008-0000-0600-0000328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e-CH" sz="800" b="0" i="0" u="none" strike="noStrike" baseline="0">
                  <a:solidFill>
                    <a:srgbClr val="000000"/>
                  </a:solidFill>
                  <a:latin typeface="Segoe UI"/>
                  <a:cs typeface="Segoe UI"/>
                </a:rPr>
                <a:t>Gruppenfeld 50</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xdr:row>
          <xdr:rowOff>9525</xdr:rowOff>
        </xdr:from>
        <xdr:to>
          <xdr:col>7</xdr:col>
          <xdr:colOff>38100</xdr:colOff>
          <xdr:row>7</xdr:row>
          <xdr:rowOff>9525</xdr:rowOff>
        </xdr:to>
        <xdr:sp macro="" textlink="">
          <xdr:nvSpPr>
            <xdr:cNvPr id="47105" name="Group Box 1" hidden="1">
              <a:extLst>
                <a:ext uri="{63B3BB69-23CF-44E3-9099-C40C66FF867C}">
                  <a14:compatExt spid="_x0000_s47105"/>
                </a:ext>
                <a:ext uri="{FF2B5EF4-FFF2-40B4-BE49-F238E27FC236}">
                  <a16:creationId xmlns:a16="http://schemas.microsoft.com/office/drawing/2014/main" id="{00000000-0008-0000-0700-000001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xdr:row>
          <xdr:rowOff>38100</xdr:rowOff>
        </xdr:from>
        <xdr:to>
          <xdr:col>6</xdr:col>
          <xdr:colOff>457200</xdr:colOff>
          <xdr:row>2</xdr:row>
          <xdr:rowOff>295275</xdr:rowOff>
        </xdr:to>
        <xdr:sp macro="" textlink="">
          <xdr:nvSpPr>
            <xdr:cNvPr id="47106" name="Option Button 2" hidden="1">
              <a:extLst>
                <a:ext uri="{63B3BB69-23CF-44E3-9099-C40C66FF867C}">
                  <a14:compatExt spid="_x0000_s47106"/>
                </a:ext>
                <a:ext uri="{FF2B5EF4-FFF2-40B4-BE49-F238E27FC236}">
                  <a16:creationId xmlns:a16="http://schemas.microsoft.com/office/drawing/2014/main" id="{00000000-0008-0000-0700-000002B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xdr:row>
          <xdr:rowOff>28575</xdr:rowOff>
        </xdr:from>
        <xdr:to>
          <xdr:col>7</xdr:col>
          <xdr:colOff>0</xdr:colOff>
          <xdr:row>3</xdr:row>
          <xdr:rowOff>257175</xdr:rowOff>
        </xdr:to>
        <xdr:sp macro="" textlink="">
          <xdr:nvSpPr>
            <xdr:cNvPr id="47107" name="Option Button 3" hidden="1">
              <a:extLst>
                <a:ext uri="{63B3BB69-23CF-44E3-9099-C40C66FF867C}">
                  <a14:compatExt spid="_x0000_s47107"/>
                </a:ext>
                <a:ext uri="{FF2B5EF4-FFF2-40B4-BE49-F238E27FC236}">
                  <a16:creationId xmlns:a16="http://schemas.microsoft.com/office/drawing/2014/main" id="{00000000-0008-0000-0700-000003B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xdr:row>
          <xdr:rowOff>38100</xdr:rowOff>
        </xdr:from>
        <xdr:to>
          <xdr:col>6</xdr:col>
          <xdr:colOff>390525</xdr:colOff>
          <xdr:row>4</xdr:row>
          <xdr:rowOff>257175</xdr:rowOff>
        </xdr:to>
        <xdr:sp macro="" textlink="">
          <xdr:nvSpPr>
            <xdr:cNvPr id="47108" name="Option Button 4" hidden="1">
              <a:extLst>
                <a:ext uri="{63B3BB69-23CF-44E3-9099-C40C66FF867C}">
                  <a14:compatExt spid="_x0000_s47108"/>
                </a:ext>
                <a:ext uri="{FF2B5EF4-FFF2-40B4-BE49-F238E27FC236}">
                  <a16:creationId xmlns:a16="http://schemas.microsoft.com/office/drawing/2014/main" id="{00000000-0008-0000-0700-000004B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xdr:row>
          <xdr:rowOff>28575</xdr:rowOff>
        </xdr:from>
        <xdr:to>
          <xdr:col>7</xdr:col>
          <xdr:colOff>28575</xdr:colOff>
          <xdr:row>5</xdr:row>
          <xdr:rowOff>257175</xdr:rowOff>
        </xdr:to>
        <xdr:sp macro="" textlink="">
          <xdr:nvSpPr>
            <xdr:cNvPr id="47109" name="Option Button 5" hidden="1">
              <a:extLst>
                <a:ext uri="{63B3BB69-23CF-44E3-9099-C40C66FF867C}">
                  <a14:compatExt spid="_x0000_s47109"/>
                </a:ext>
                <a:ext uri="{FF2B5EF4-FFF2-40B4-BE49-F238E27FC236}">
                  <a16:creationId xmlns:a16="http://schemas.microsoft.com/office/drawing/2014/main" id="{00000000-0008-0000-0700-000005B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xdr:row>
          <xdr:rowOff>9525</xdr:rowOff>
        </xdr:from>
        <xdr:to>
          <xdr:col>6</xdr:col>
          <xdr:colOff>381000</xdr:colOff>
          <xdr:row>6</xdr:row>
          <xdr:rowOff>238125</xdr:rowOff>
        </xdr:to>
        <xdr:sp macro="" textlink="">
          <xdr:nvSpPr>
            <xdr:cNvPr id="47110" name="Option Button 6" hidden="1">
              <a:extLst>
                <a:ext uri="{63B3BB69-23CF-44E3-9099-C40C66FF867C}">
                  <a14:compatExt spid="_x0000_s47110"/>
                </a:ext>
                <a:ext uri="{FF2B5EF4-FFF2-40B4-BE49-F238E27FC236}">
                  <a16:creationId xmlns:a16="http://schemas.microsoft.com/office/drawing/2014/main" id="{00000000-0008-0000-0700-000006B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7</xdr:col>
          <xdr:colOff>38100</xdr:colOff>
          <xdr:row>11</xdr:row>
          <xdr:rowOff>381000</xdr:rowOff>
        </xdr:to>
        <xdr:sp macro="" textlink="">
          <xdr:nvSpPr>
            <xdr:cNvPr id="47111" name="Group Box 7" hidden="1">
              <a:extLst>
                <a:ext uri="{63B3BB69-23CF-44E3-9099-C40C66FF867C}">
                  <a14:compatExt spid="_x0000_s47111"/>
                </a:ext>
                <a:ext uri="{FF2B5EF4-FFF2-40B4-BE49-F238E27FC236}">
                  <a16:creationId xmlns:a16="http://schemas.microsoft.com/office/drawing/2014/main" id="{00000000-0008-0000-0700-000007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xdr:row>
          <xdr:rowOff>104775</xdr:rowOff>
        </xdr:from>
        <xdr:to>
          <xdr:col>6</xdr:col>
          <xdr:colOff>447675</xdr:colOff>
          <xdr:row>7</xdr:row>
          <xdr:rowOff>352425</xdr:rowOff>
        </xdr:to>
        <xdr:sp macro="" textlink="">
          <xdr:nvSpPr>
            <xdr:cNvPr id="47112" name="Option Button 8" hidden="1">
              <a:extLst>
                <a:ext uri="{63B3BB69-23CF-44E3-9099-C40C66FF867C}">
                  <a14:compatExt spid="_x0000_s47112"/>
                </a:ext>
                <a:ext uri="{FF2B5EF4-FFF2-40B4-BE49-F238E27FC236}">
                  <a16:creationId xmlns:a16="http://schemas.microsoft.com/office/drawing/2014/main" id="{00000000-0008-0000-0700-000008B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xdr:row>
          <xdr:rowOff>28575</xdr:rowOff>
        </xdr:from>
        <xdr:to>
          <xdr:col>6</xdr:col>
          <xdr:colOff>447675</xdr:colOff>
          <xdr:row>8</xdr:row>
          <xdr:rowOff>266700</xdr:rowOff>
        </xdr:to>
        <xdr:sp macro="" textlink="">
          <xdr:nvSpPr>
            <xdr:cNvPr id="47113" name="Option Button 9" hidden="1">
              <a:extLst>
                <a:ext uri="{63B3BB69-23CF-44E3-9099-C40C66FF867C}">
                  <a14:compatExt spid="_x0000_s47113"/>
                </a:ext>
                <a:ext uri="{FF2B5EF4-FFF2-40B4-BE49-F238E27FC236}">
                  <a16:creationId xmlns:a16="http://schemas.microsoft.com/office/drawing/2014/main" id="{00000000-0008-0000-0700-000009B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28575</xdr:rowOff>
        </xdr:from>
        <xdr:to>
          <xdr:col>6</xdr:col>
          <xdr:colOff>371475</xdr:colOff>
          <xdr:row>9</xdr:row>
          <xdr:rowOff>295275</xdr:rowOff>
        </xdr:to>
        <xdr:sp macro="" textlink="">
          <xdr:nvSpPr>
            <xdr:cNvPr id="47114" name="Option Button 10" hidden="1">
              <a:extLst>
                <a:ext uri="{63B3BB69-23CF-44E3-9099-C40C66FF867C}">
                  <a14:compatExt spid="_x0000_s47114"/>
                </a:ext>
                <a:ext uri="{FF2B5EF4-FFF2-40B4-BE49-F238E27FC236}">
                  <a16:creationId xmlns:a16="http://schemas.microsoft.com/office/drawing/2014/main" id="{00000000-0008-0000-0700-00000AB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xdr:row>
          <xdr:rowOff>0</xdr:rowOff>
        </xdr:from>
        <xdr:to>
          <xdr:col>6</xdr:col>
          <xdr:colOff>390525</xdr:colOff>
          <xdr:row>10</xdr:row>
          <xdr:rowOff>295275</xdr:rowOff>
        </xdr:to>
        <xdr:sp macro="" textlink="">
          <xdr:nvSpPr>
            <xdr:cNvPr id="47115" name="Option Button 11" hidden="1">
              <a:extLst>
                <a:ext uri="{63B3BB69-23CF-44E3-9099-C40C66FF867C}">
                  <a14:compatExt spid="_x0000_s47115"/>
                </a:ext>
                <a:ext uri="{FF2B5EF4-FFF2-40B4-BE49-F238E27FC236}">
                  <a16:creationId xmlns:a16="http://schemas.microsoft.com/office/drawing/2014/main" id="{00000000-0008-0000-0700-00000BB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7</xdr:col>
          <xdr:colOff>38100</xdr:colOff>
          <xdr:row>16</xdr:row>
          <xdr:rowOff>419100</xdr:rowOff>
        </xdr:to>
        <xdr:sp macro="" textlink="">
          <xdr:nvSpPr>
            <xdr:cNvPr id="47116" name="Group Box 12" hidden="1">
              <a:extLst>
                <a:ext uri="{63B3BB69-23CF-44E3-9099-C40C66FF867C}">
                  <a14:compatExt spid="_x0000_s47116"/>
                </a:ext>
                <a:ext uri="{FF2B5EF4-FFF2-40B4-BE49-F238E27FC236}">
                  <a16:creationId xmlns:a16="http://schemas.microsoft.com/office/drawing/2014/main" id="{00000000-0008-0000-0700-00000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xdr:row>
          <xdr:rowOff>66675</xdr:rowOff>
        </xdr:from>
        <xdr:to>
          <xdr:col>6</xdr:col>
          <xdr:colOff>457200</xdr:colOff>
          <xdr:row>11</xdr:row>
          <xdr:rowOff>276225</xdr:rowOff>
        </xdr:to>
        <xdr:sp macro="" textlink="">
          <xdr:nvSpPr>
            <xdr:cNvPr id="47128" name="Option Button 24" hidden="1">
              <a:extLst>
                <a:ext uri="{63B3BB69-23CF-44E3-9099-C40C66FF867C}">
                  <a14:compatExt spid="_x0000_s47128"/>
                </a:ext>
                <a:ext uri="{FF2B5EF4-FFF2-40B4-BE49-F238E27FC236}">
                  <a16:creationId xmlns:a16="http://schemas.microsoft.com/office/drawing/2014/main" id="{00000000-0008-0000-0700-000018B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12</xdr:row>
          <xdr:rowOff>114300</xdr:rowOff>
        </xdr:from>
        <xdr:to>
          <xdr:col>6</xdr:col>
          <xdr:colOff>447675</xdr:colOff>
          <xdr:row>12</xdr:row>
          <xdr:rowOff>333375</xdr:rowOff>
        </xdr:to>
        <xdr:sp macro="" textlink="">
          <xdr:nvSpPr>
            <xdr:cNvPr id="47136" name="Option Button 32" hidden="1">
              <a:extLst>
                <a:ext uri="{63B3BB69-23CF-44E3-9099-C40C66FF867C}">
                  <a14:compatExt spid="_x0000_s47136"/>
                </a:ext>
                <a:ext uri="{FF2B5EF4-FFF2-40B4-BE49-F238E27FC236}">
                  <a16:creationId xmlns:a16="http://schemas.microsoft.com/office/drawing/2014/main" id="{00000000-0008-0000-0700-00002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13</xdr:row>
          <xdr:rowOff>142875</xdr:rowOff>
        </xdr:from>
        <xdr:to>
          <xdr:col>6</xdr:col>
          <xdr:colOff>447675</xdr:colOff>
          <xdr:row>13</xdr:row>
          <xdr:rowOff>371475</xdr:rowOff>
        </xdr:to>
        <xdr:sp macro="" textlink="">
          <xdr:nvSpPr>
            <xdr:cNvPr id="47137" name="Option Button 33" hidden="1">
              <a:extLst>
                <a:ext uri="{63B3BB69-23CF-44E3-9099-C40C66FF867C}">
                  <a14:compatExt spid="_x0000_s47137"/>
                </a:ext>
                <a:ext uri="{FF2B5EF4-FFF2-40B4-BE49-F238E27FC236}">
                  <a16:creationId xmlns:a16="http://schemas.microsoft.com/office/drawing/2014/main" id="{00000000-0008-0000-0700-00002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xdr:row>
          <xdr:rowOff>76200</xdr:rowOff>
        </xdr:from>
        <xdr:to>
          <xdr:col>6</xdr:col>
          <xdr:colOff>447675</xdr:colOff>
          <xdr:row>14</xdr:row>
          <xdr:rowOff>295275</xdr:rowOff>
        </xdr:to>
        <xdr:sp macro="" textlink="">
          <xdr:nvSpPr>
            <xdr:cNvPr id="47138" name="Option Button 34" hidden="1">
              <a:extLst>
                <a:ext uri="{63B3BB69-23CF-44E3-9099-C40C66FF867C}">
                  <a14:compatExt spid="_x0000_s47138"/>
                </a:ext>
                <a:ext uri="{FF2B5EF4-FFF2-40B4-BE49-F238E27FC236}">
                  <a16:creationId xmlns:a16="http://schemas.microsoft.com/office/drawing/2014/main" id="{00000000-0008-0000-0700-00002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15</xdr:row>
          <xdr:rowOff>152400</xdr:rowOff>
        </xdr:from>
        <xdr:to>
          <xdr:col>6</xdr:col>
          <xdr:colOff>447675</xdr:colOff>
          <xdr:row>15</xdr:row>
          <xdr:rowOff>371475</xdr:rowOff>
        </xdr:to>
        <xdr:sp macro="" textlink="">
          <xdr:nvSpPr>
            <xdr:cNvPr id="47139" name="Option Button 35" hidden="1">
              <a:extLst>
                <a:ext uri="{63B3BB69-23CF-44E3-9099-C40C66FF867C}">
                  <a14:compatExt spid="_x0000_s47139"/>
                </a:ext>
                <a:ext uri="{FF2B5EF4-FFF2-40B4-BE49-F238E27FC236}">
                  <a16:creationId xmlns:a16="http://schemas.microsoft.com/office/drawing/2014/main" id="{00000000-0008-0000-0700-00002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16</xdr:row>
          <xdr:rowOff>142875</xdr:rowOff>
        </xdr:from>
        <xdr:to>
          <xdr:col>6</xdr:col>
          <xdr:colOff>447675</xdr:colOff>
          <xdr:row>16</xdr:row>
          <xdr:rowOff>352425</xdr:rowOff>
        </xdr:to>
        <xdr:sp macro="" textlink="">
          <xdr:nvSpPr>
            <xdr:cNvPr id="47140" name="Option Button 36" hidden="1">
              <a:extLst>
                <a:ext uri="{63B3BB69-23CF-44E3-9099-C40C66FF867C}">
                  <a14:compatExt spid="_x0000_s47140"/>
                </a:ext>
                <a:ext uri="{FF2B5EF4-FFF2-40B4-BE49-F238E27FC236}">
                  <a16:creationId xmlns:a16="http://schemas.microsoft.com/office/drawing/2014/main" id="{00000000-0008-0000-0700-00002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6</xdr:col>
          <xdr:colOff>485775</xdr:colOff>
          <xdr:row>22</xdr:row>
          <xdr:rowOff>0</xdr:rowOff>
        </xdr:to>
        <xdr:sp macro="" textlink="">
          <xdr:nvSpPr>
            <xdr:cNvPr id="47141" name="Group Box 37" hidden="1">
              <a:extLst>
                <a:ext uri="{63B3BB69-23CF-44E3-9099-C40C66FF867C}">
                  <a14:compatExt spid="_x0000_s47141"/>
                </a:ext>
                <a:ext uri="{FF2B5EF4-FFF2-40B4-BE49-F238E27FC236}">
                  <a16:creationId xmlns:a16="http://schemas.microsoft.com/office/drawing/2014/main" id="{00000000-0008-0000-0700-000025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17</xdr:row>
          <xdr:rowOff>180975</xdr:rowOff>
        </xdr:from>
        <xdr:to>
          <xdr:col>6</xdr:col>
          <xdr:colOff>447675</xdr:colOff>
          <xdr:row>17</xdr:row>
          <xdr:rowOff>419100</xdr:rowOff>
        </xdr:to>
        <xdr:sp macro="" textlink="">
          <xdr:nvSpPr>
            <xdr:cNvPr id="47142" name="Option Button 38" hidden="1">
              <a:extLst>
                <a:ext uri="{63B3BB69-23CF-44E3-9099-C40C66FF867C}">
                  <a14:compatExt spid="_x0000_s47142"/>
                </a:ext>
                <a:ext uri="{FF2B5EF4-FFF2-40B4-BE49-F238E27FC236}">
                  <a16:creationId xmlns:a16="http://schemas.microsoft.com/office/drawing/2014/main" id="{00000000-0008-0000-0700-00002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18</xdr:row>
          <xdr:rowOff>142875</xdr:rowOff>
        </xdr:from>
        <xdr:to>
          <xdr:col>6</xdr:col>
          <xdr:colOff>447675</xdr:colOff>
          <xdr:row>18</xdr:row>
          <xdr:rowOff>371475</xdr:rowOff>
        </xdr:to>
        <xdr:sp macro="" textlink="">
          <xdr:nvSpPr>
            <xdr:cNvPr id="47143" name="Option Button 39" hidden="1">
              <a:extLst>
                <a:ext uri="{63B3BB69-23CF-44E3-9099-C40C66FF867C}">
                  <a14:compatExt spid="_x0000_s47143"/>
                </a:ext>
                <a:ext uri="{FF2B5EF4-FFF2-40B4-BE49-F238E27FC236}">
                  <a16:creationId xmlns:a16="http://schemas.microsoft.com/office/drawing/2014/main" id="{00000000-0008-0000-0700-00002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19</xdr:row>
          <xdr:rowOff>66675</xdr:rowOff>
        </xdr:from>
        <xdr:to>
          <xdr:col>6</xdr:col>
          <xdr:colOff>447675</xdr:colOff>
          <xdr:row>19</xdr:row>
          <xdr:rowOff>333375</xdr:rowOff>
        </xdr:to>
        <xdr:sp macro="" textlink="">
          <xdr:nvSpPr>
            <xdr:cNvPr id="47144" name="Option Button 40" hidden="1">
              <a:extLst>
                <a:ext uri="{63B3BB69-23CF-44E3-9099-C40C66FF867C}">
                  <a14:compatExt spid="_x0000_s47144"/>
                </a:ext>
                <a:ext uri="{FF2B5EF4-FFF2-40B4-BE49-F238E27FC236}">
                  <a16:creationId xmlns:a16="http://schemas.microsoft.com/office/drawing/2014/main" id="{00000000-0008-0000-0700-00002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20</xdr:row>
          <xdr:rowOff>104775</xdr:rowOff>
        </xdr:from>
        <xdr:to>
          <xdr:col>6</xdr:col>
          <xdr:colOff>447675</xdr:colOff>
          <xdr:row>20</xdr:row>
          <xdr:rowOff>352425</xdr:rowOff>
        </xdr:to>
        <xdr:sp macro="" textlink="">
          <xdr:nvSpPr>
            <xdr:cNvPr id="47145" name="Option Button 41" hidden="1">
              <a:extLst>
                <a:ext uri="{63B3BB69-23CF-44E3-9099-C40C66FF867C}">
                  <a14:compatExt spid="_x0000_s47145"/>
                </a:ext>
                <a:ext uri="{FF2B5EF4-FFF2-40B4-BE49-F238E27FC236}">
                  <a16:creationId xmlns:a16="http://schemas.microsoft.com/office/drawing/2014/main" id="{00000000-0008-0000-0700-00002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21</xdr:row>
          <xdr:rowOff>85725</xdr:rowOff>
        </xdr:from>
        <xdr:to>
          <xdr:col>6</xdr:col>
          <xdr:colOff>447675</xdr:colOff>
          <xdr:row>21</xdr:row>
          <xdr:rowOff>371475</xdr:rowOff>
        </xdr:to>
        <xdr:sp macro="" textlink="">
          <xdr:nvSpPr>
            <xdr:cNvPr id="47146" name="Option Button 42" hidden="1">
              <a:extLst>
                <a:ext uri="{63B3BB69-23CF-44E3-9099-C40C66FF867C}">
                  <a14:compatExt spid="_x0000_s47146"/>
                </a:ext>
                <a:ext uri="{FF2B5EF4-FFF2-40B4-BE49-F238E27FC236}">
                  <a16:creationId xmlns:a16="http://schemas.microsoft.com/office/drawing/2014/main" id="{00000000-0008-0000-0700-00002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xdr:row>
          <xdr:rowOff>9525</xdr:rowOff>
        </xdr:from>
        <xdr:to>
          <xdr:col>7</xdr:col>
          <xdr:colOff>38100</xdr:colOff>
          <xdr:row>7</xdr:row>
          <xdr:rowOff>9525</xdr:rowOff>
        </xdr:to>
        <xdr:sp macro="" textlink="">
          <xdr:nvSpPr>
            <xdr:cNvPr id="48129" name="Group Box 1" hidden="1">
              <a:extLst>
                <a:ext uri="{63B3BB69-23CF-44E3-9099-C40C66FF867C}">
                  <a14:compatExt spid="_x0000_s48129"/>
                </a:ext>
                <a:ext uri="{FF2B5EF4-FFF2-40B4-BE49-F238E27FC236}">
                  <a16:creationId xmlns:a16="http://schemas.microsoft.com/office/drawing/2014/main" id="{00000000-0008-0000-0800-000001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xdr:row>
          <xdr:rowOff>38100</xdr:rowOff>
        </xdr:from>
        <xdr:to>
          <xdr:col>6</xdr:col>
          <xdr:colOff>457200</xdr:colOff>
          <xdr:row>2</xdr:row>
          <xdr:rowOff>295275</xdr:rowOff>
        </xdr:to>
        <xdr:sp macro="" textlink="">
          <xdr:nvSpPr>
            <xdr:cNvPr id="48130" name="Option Button 2" hidden="1">
              <a:extLst>
                <a:ext uri="{63B3BB69-23CF-44E3-9099-C40C66FF867C}">
                  <a14:compatExt spid="_x0000_s48130"/>
                </a:ext>
                <a:ext uri="{FF2B5EF4-FFF2-40B4-BE49-F238E27FC236}">
                  <a16:creationId xmlns:a16="http://schemas.microsoft.com/office/drawing/2014/main" id="{00000000-0008-0000-0800-000002B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xdr:row>
          <xdr:rowOff>28575</xdr:rowOff>
        </xdr:from>
        <xdr:to>
          <xdr:col>7</xdr:col>
          <xdr:colOff>0</xdr:colOff>
          <xdr:row>3</xdr:row>
          <xdr:rowOff>257175</xdr:rowOff>
        </xdr:to>
        <xdr:sp macro="" textlink="">
          <xdr:nvSpPr>
            <xdr:cNvPr id="48131" name="Option Button 3" hidden="1">
              <a:extLst>
                <a:ext uri="{63B3BB69-23CF-44E3-9099-C40C66FF867C}">
                  <a14:compatExt spid="_x0000_s48131"/>
                </a:ext>
                <a:ext uri="{FF2B5EF4-FFF2-40B4-BE49-F238E27FC236}">
                  <a16:creationId xmlns:a16="http://schemas.microsoft.com/office/drawing/2014/main" id="{00000000-0008-0000-0800-000003B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xdr:row>
          <xdr:rowOff>38100</xdr:rowOff>
        </xdr:from>
        <xdr:to>
          <xdr:col>6</xdr:col>
          <xdr:colOff>390525</xdr:colOff>
          <xdr:row>4</xdr:row>
          <xdr:rowOff>257175</xdr:rowOff>
        </xdr:to>
        <xdr:sp macro="" textlink="">
          <xdr:nvSpPr>
            <xdr:cNvPr id="48132" name="Option Button 4" hidden="1">
              <a:extLst>
                <a:ext uri="{63B3BB69-23CF-44E3-9099-C40C66FF867C}">
                  <a14:compatExt spid="_x0000_s48132"/>
                </a:ext>
                <a:ext uri="{FF2B5EF4-FFF2-40B4-BE49-F238E27FC236}">
                  <a16:creationId xmlns:a16="http://schemas.microsoft.com/office/drawing/2014/main" id="{00000000-0008-0000-0800-000004B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xdr:row>
          <xdr:rowOff>85725</xdr:rowOff>
        </xdr:from>
        <xdr:to>
          <xdr:col>7</xdr:col>
          <xdr:colOff>28575</xdr:colOff>
          <xdr:row>5</xdr:row>
          <xdr:rowOff>304800</xdr:rowOff>
        </xdr:to>
        <xdr:sp macro="" textlink="">
          <xdr:nvSpPr>
            <xdr:cNvPr id="48133" name="Option Button 5" hidden="1">
              <a:extLst>
                <a:ext uri="{63B3BB69-23CF-44E3-9099-C40C66FF867C}">
                  <a14:compatExt spid="_x0000_s48133"/>
                </a:ext>
                <a:ext uri="{FF2B5EF4-FFF2-40B4-BE49-F238E27FC236}">
                  <a16:creationId xmlns:a16="http://schemas.microsoft.com/office/drawing/2014/main" id="{00000000-0008-0000-0800-000005B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xdr:row>
          <xdr:rowOff>66675</xdr:rowOff>
        </xdr:from>
        <xdr:to>
          <xdr:col>6</xdr:col>
          <xdr:colOff>381000</xdr:colOff>
          <xdr:row>6</xdr:row>
          <xdr:rowOff>295275</xdr:rowOff>
        </xdr:to>
        <xdr:sp macro="" textlink="">
          <xdr:nvSpPr>
            <xdr:cNvPr id="48134" name="Option Button 6" hidden="1">
              <a:extLst>
                <a:ext uri="{63B3BB69-23CF-44E3-9099-C40C66FF867C}">
                  <a14:compatExt spid="_x0000_s48134"/>
                </a:ext>
                <a:ext uri="{FF2B5EF4-FFF2-40B4-BE49-F238E27FC236}">
                  <a16:creationId xmlns:a16="http://schemas.microsoft.com/office/drawing/2014/main" id="{00000000-0008-0000-0800-000006B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2</xdr:col>
      <xdr:colOff>206621</xdr:colOff>
      <xdr:row>0</xdr:row>
      <xdr:rowOff>38014</xdr:rowOff>
    </xdr:from>
    <xdr:to>
      <xdr:col>3</xdr:col>
      <xdr:colOff>290148</xdr:colOff>
      <xdr:row>6</xdr:row>
      <xdr:rowOff>34817</xdr:rowOff>
    </xdr:to>
    <xdr:pic>
      <xdr:nvPicPr>
        <xdr:cNvPr id="3" name="Grafik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1592" y="38014"/>
          <a:ext cx="1114468" cy="10725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528271</xdr:colOff>
      <xdr:row>0</xdr:row>
      <xdr:rowOff>136282</xdr:rowOff>
    </xdr:from>
    <xdr:to>
      <xdr:col>6</xdr:col>
      <xdr:colOff>452071</xdr:colOff>
      <xdr:row>5</xdr:row>
      <xdr:rowOff>41032</xdr:rowOff>
    </xdr:to>
    <xdr:sp macro="" textlink="">
      <xdr:nvSpPr>
        <xdr:cNvPr id="4" name="Textfeld 3">
          <a:extLst>
            <a:ext uri="{FF2B5EF4-FFF2-40B4-BE49-F238E27FC236}">
              <a16:creationId xmlns:a16="http://schemas.microsoft.com/office/drawing/2014/main" id="{00000000-0008-0000-0800-000004000000}"/>
            </a:ext>
          </a:extLst>
        </xdr:cNvPr>
        <xdr:cNvSpPr txBox="1"/>
      </xdr:nvSpPr>
      <xdr:spPr>
        <a:xfrm>
          <a:off x="2976196" y="679207"/>
          <a:ext cx="440055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a:latin typeface="Arial" panose="020B0604020202020204" pitchFamily="34" charset="0"/>
              <a:cs typeface="Arial" panose="020B0604020202020204" pitchFamily="34" charset="0"/>
            </a:rPr>
            <a:t>Kanton Zürich</a:t>
          </a:r>
        </a:p>
        <a:p>
          <a:r>
            <a:rPr lang="de-CH" sz="1000">
              <a:latin typeface="Arial" panose="020B0604020202020204" pitchFamily="34" charset="0"/>
              <a:cs typeface="Arial" panose="020B0604020202020204" pitchFamily="34" charset="0"/>
            </a:rPr>
            <a:t>Baudirektion</a:t>
          </a:r>
        </a:p>
        <a:p>
          <a:r>
            <a:rPr lang="de-CH" sz="1000" b="1">
              <a:latin typeface="Arial" panose="020B0604020202020204" pitchFamily="34" charset="0"/>
              <a:cs typeface="Arial" panose="020B0604020202020204" pitchFamily="34" charset="0"/>
            </a:rPr>
            <a:t>Amt</a:t>
          </a:r>
          <a:r>
            <a:rPr lang="de-CH" sz="1000" b="1" baseline="0">
              <a:latin typeface="Arial" panose="020B0604020202020204" pitchFamily="34" charset="0"/>
              <a:cs typeface="Arial" panose="020B0604020202020204" pitchFamily="34" charset="0"/>
            </a:rPr>
            <a:t> für Abfall, Wasser, Energie und Luft</a:t>
          </a:r>
        </a:p>
        <a:p>
          <a:r>
            <a:rPr lang="de-CH" sz="1000" baseline="0">
              <a:latin typeface="Arial" panose="020B0604020202020204" pitchFamily="34" charset="0"/>
              <a:cs typeface="Arial" panose="020B0604020202020204" pitchFamily="34" charset="0"/>
            </a:rPr>
            <a:t>Luft, Klima und Strahlung</a:t>
          </a:r>
        </a:p>
        <a:p>
          <a:endParaRPr lang="de-CH" sz="700" baseline="0">
            <a:latin typeface="Arial" panose="020B0604020202020204" pitchFamily="34" charset="0"/>
            <a:cs typeface="Arial" panose="020B0604020202020204" pitchFamily="34" charset="0"/>
          </a:endParaRPr>
        </a:p>
        <a:p>
          <a:endParaRPr lang="de-CH" sz="700" baseline="0">
            <a:latin typeface="Arial" panose="020B0604020202020204" pitchFamily="34" charset="0"/>
            <a:cs typeface="Arial" panose="020B0604020202020204" pitchFamily="34" charset="0"/>
          </a:endParaRPr>
        </a:p>
      </xdr:txBody>
    </xdr:sp>
    <xdr:clientData/>
  </xdr:twoCellAnchor>
  <xdr:twoCellAnchor>
    <xdr:from>
      <xdr:col>5</xdr:col>
      <xdr:colOff>504264</xdr:colOff>
      <xdr:row>12</xdr:row>
      <xdr:rowOff>134470</xdr:rowOff>
    </xdr:from>
    <xdr:to>
      <xdr:col>10</xdr:col>
      <xdr:colOff>829235</xdr:colOff>
      <xdr:row>15</xdr:row>
      <xdr:rowOff>56029</xdr:rowOff>
    </xdr:to>
    <xdr:sp macro="" textlink="">
      <xdr:nvSpPr>
        <xdr:cNvPr id="5" name="Textfeld 4">
          <a:extLst>
            <a:ext uri="{FF2B5EF4-FFF2-40B4-BE49-F238E27FC236}">
              <a16:creationId xmlns:a16="http://schemas.microsoft.com/office/drawing/2014/main" id="{00000000-0008-0000-0800-000005000000}"/>
            </a:ext>
          </a:extLst>
        </xdr:cNvPr>
        <xdr:cNvSpPr txBox="1"/>
      </xdr:nvSpPr>
      <xdr:spPr>
        <a:xfrm>
          <a:off x="7238999" y="2846294"/>
          <a:ext cx="5614148" cy="493059"/>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200"/>
            <a:t>Vorgehen zur</a:t>
          </a:r>
          <a:r>
            <a:rPr lang="de-CH" sz="1200" baseline="0"/>
            <a:t> Einschränkung der </a:t>
          </a:r>
          <a:r>
            <a:rPr lang="de-CH" sz="1200" b="1" baseline="0"/>
            <a:t>Anzeige auf</a:t>
          </a:r>
          <a:r>
            <a:rPr lang="de-CH" sz="1200" b="1"/>
            <a:t> die ausgewählten Reduktionsoptionen</a:t>
          </a:r>
          <a:r>
            <a:rPr lang="de-CH" sz="1200" b="1" baseline="0"/>
            <a:t>:</a:t>
          </a:r>
          <a:r>
            <a:rPr lang="de-CH" sz="1200" baseline="0"/>
            <a:t> </a:t>
          </a:r>
        </a:p>
        <a:p>
          <a:r>
            <a:rPr lang="de-CH" sz="1200" baseline="0"/>
            <a:t>Im Feld "Wahl" (Spalte N) auf den Pfeil klicken und einen Haken setzen bei "Gewählt"</a:t>
          </a:r>
          <a:endParaRPr lang="de-CH" sz="120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36110</xdr:rowOff>
    </xdr:from>
    <xdr:to>
      <xdr:col>3</xdr:col>
      <xdr:colOff>849924</xdr:colOff>
      <xdr:row>1</xdr:row>
      <xdr:rowOff>1082185</xdr:rowOff>
    </xdr:to>
    <xdr:pic>
      <xdr:nvPicPr>
        <xdr:cNvPr id="2" name="Grafik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309160"/>
          <a:ext cx="1103924" cy="1046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890953</xdr:colOff>
      <xdr:row>1</xdr:row>
      <xdr:rowOff>124558</xdr:rowOff>
    </xdr:from>
    <xdr:to>
      <xdr:col>10</xdr:col>
      <xdr:colOff>338503</xdr:colOff>
      <xdr:row>1</xdr:row>
      <xdr:rowOff>934183</xdr:rowOff>
    </xdr:to>
    <xdr:sp macro="" textlink="">
      <xdr:nvSpPr>
        <xdr:cNvPr id="3" name="Textfeld 2">
          <a:extLst>
            <a:ext uri="{FF2B5EF4-FFF2-40B4-BE49-F238E27FC236}">
              <a16:creationId xmlns:a16="http://schemas.microsoft.com/office/drawing/2014/main" id="{00000000-0008-0000-0900-000003000000}"/>
            </a:ext>
          </a:extLst>
        </xdr:cNvPr>
        <xdr:cNvSpPr txBox="1"/>
      </xdr:nvSpPr>
      <xdr:spPr>
        <a:xfrm>
          <a:off x="1945053" y="397608"/>
          <a:ext cx="488315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a:latin typeface="Arial" panose="020B0604020202020204" pitchFamily="34" charset="0"/>
              <a:cs typeface="Arial" panose="020B0604020202020204" pitchFamily="34" charset="0"/>
            </a:rPr>
            <a:t>Kanton Zürich</a:t>
          </a:r>
        </a:p>
        <a:p>
          <a:r>
            <a:rPr lang="de-CH" sz="1000">
              <a:latin typeface="Arial" panose="020B0604020202020204" pitchFamily="34" charset="0"/>
              <a:cs typeface="Arial" panose="020B0604020202020204" pitchFamily="34" charset="0"/>
            </a:rPr>
            <a:t>Baudirektion</a:t>
          </a:r>
        </a:p>
        <a:p>
          <a:r>
            <a:rPr lang="de-CH" sz="1000" b="1">
              <a:latin typeface="Arial" panose="020B0604020202020204" pitchFamily="34" charset="0"/>
              <a:cs typeface="Arial" panose="020B0604020202020204" pitchFamily="34" charset="0"/>
            </a:rPr>
            <a:t>Amt</a:t>
          </a:r>
          <a:r>
            <a:rPr lang="de-CH" sz="1000" b="1" baseline="0">
              <a:latin typeface="Arial" panose="020B0604020202020204" pitchFamily="34" charset="0"/>
              <a:cs typeface="Arial" panose="020B0604020202020204" pitchFamily="34" charset="0"/>
            </a:rPr>
            <a:t> für Abfall, Wasser, Energie und Luft</a:t>
          </a:r>
        </a:p>
        <a:p>
          <a:r>
            <a:rPr lang="de-CH" sz="1000" baseline="0">
              <a:latin typeface="Arial" panose="020B0604020202020204" pitchFamily="34" charset="0"/>
              <a:cs typeface="Arial" panose="020B0604020202020204" pitchFamily="34" charset="0"/>
            </a:rPr>
            <a:t>Luft, Klima und Strahlung</a:t>
          </a:r>
        </a:p>
        <a:p>
          <a:endParaRPr lang="de-CH" sz="700" baseline="0">
            <a:latin typeface="Arial" panose="020B0604020202020204" pitchFamily="34" charset="0"/>
            <a:cs typeface="Arial" panose="020B0604020202020204" pitchFamily="34" charset="0"/>
          </a:endParaRPr>
        </a:p>
        <a:p>
          <a:endParaRPr lang="de-CH" sz="700" baseline="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9" Type="http://schemas.openxmlformats.org/officeDocument/2006/relationships/ctrlProp" Target="../ctrlProps/ctrlProp72.xml"/><Relationship Id="rId21" Type="http://schemas.openxmlformats.org/officeDocument/2006/relationships/ctrlProp" Target="../ctrlProps/ctrlProp54.xml"/><Relationship Id="rId34" Type="http://schemas.openxmlformats.org/officeDocument/2006/relationships/ctrlProp" Target="../ctrlProps/ctrlProp67.xml"/><Relationship Id="rId42" Type="http://schemas.openxmlformats.org/officeDocument/2006/relationships/ctrlProp" Target="../ctrlProps/ctrlProp75.xml"/><Relationship Id="rId47" Type="http://schemas.openxmlformats.org/officeDocument/2006/relationships/ctrlProp" Target="../ctrlProps/ctrlProp80.xml"/><Relationship Id="rId50" Type="http://schemas.openxmlformats.org/officeDocument/2006/relationships/ctrlProp" Target="../ctrlProps/ctrlProp83.xml"/><Relationship Id="rId55" Type="http://schemas.openxmlformats.org/officeDocument/2006/relationships/ctrlProp" Target="../ctrlProps/ctrlProp88.xml"/><Relationship Id="rId63" Type="http://schemas.openxmlformats.org/officeDocument/2006/relationships/ctrlProp" Target="../ctrlProps/ctrlProp96.xml"/><Relationship Id="rId68" Type="http://schemas.openxmlformats.org/officeDocument/2006/relationships/ctrlProp" Target="../ctrlProps/ctrlProp101.xml"/><Relationship Id="rId7" Type="http://schemas.openxmlformats.org/officeDocument/2006/relationships/ctrlProp" Target="../ctrlProps/ctrlProp40.xml"/><Relationship Id="rId71" Type="http://schemas.openxmlformats.org/officeDocument/2006/relationships/ctrlProp" Target="../ctrlProps/ctrlProp104.xml"/><Relationship Id="rId2" Type="http://schemas.openxmlformats.org/officeDocument/2006/relationships/drawing" Target="../drawings/drawing3.xml"/><Relationship Id="rId16" Type="http://schemas.openxmlformats.org/officeDocument/2006/relationships/ctrlProp" Target="../ctrlProps/ctrlProp49.xml"/><Relationship Id="rId29" Type="http://schemas.openxmlformats.org/officeDocument/2006/relationships/ctrlProp" Target="../ctrlProps/ctrlProp62.xml"/><Relationship Id="rId11" Type="http://schemas.openxmlformats.org/officeDocument/2006/relationships/ctrlProp" Target="../ctrlProps/ctrlProp44.xml"/><Relationship Id="rId24" Type="http://schemas.openxmlformats.org/officeDocument/2006/relationships/ctrlProp" Target="../ctrlProps/ctrlProp57.xml"/><Relationship Id="rId32" Type="http://schemas.openxmlformats.org/officeDocument/2006/relationships/ctrlProp" Target="../ctrlProps/ctrlProp65.xml"/><Relationship Id="rId37" Type="http://schemas.openxmlformats.org/officeDocument/2006/relationships/ctrlProp" Target="../ctrlProps/ctrlProp70.xml"/><Relationship Id="rId40" Type="http://schemas.openxmlformats.org/officeDocument/2006/relationships/ctrlProp" Target="../ctrlProps/ctrlProp73.xml"/><Relationship Id="rId45" Type="http://schemas.openxmlformats.org/officeDocument/2006/relationships/ctrlProp" Target="../ctrlProps/ctrlProp78.xml"/><Relationship Id="rId53" Type="http://schemas.openxmlformats.org/officeDocument/2006/relationships/ctrlProp" Target="../ctrlProps/ctrlProp86.xml"/><Relationship Id="rId58" Type="http://schemas.openxmlformats.org/officeDocument/2006/relationships/ctrlProp" Target="../ctrlProps/ctrlProp91.xml"/><Relationship Id="rId66" Type="http://schemas.openxmlformats.org/officeDocument/2006/relationships/ctrlProp" Target="../ctrlProps/ctrlProp99.xml"/><Relationship Id="rId74" Type="http://schemas.openxmlformats.org/officeDocument/2006/relationships/ctrlProp" Target="../ctrlProps/ctrlProp107.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28" Type="http://schemas.openxmlformats.org/officeDocument/2006/relationships/ctrlProp" Target="../ctrlProps/ctrlProp61.xml"/><Relationship Id="rId36" Type="http://schemas.openxmlformats.org/officeDocument/2006/relationships/ctrlProp" Target="../ctrlProps/ctrlProp69.xml"/><Relationship Id="rId49" Type="http://schemas.openxmlformats.org/officeDocument/2006/relationships/ctrlProp" Target="../ctrlProps/ctrlProp82.xml"/><Relationship Id="rId57" Type="http://schemas.openxmlformats.org/officeDocument/2006/relationships/ctrlProp" Target="../ctrlProps/ctrlProp90.xml"/><Relationship Id="rId61" Type="http://schemas.openxmlformats.org/officeDocument/2006/relationships/ctrlProp" Target="../ctrlProps/ctrlProp94.xml"/><Relationship Id="rId10" Type="http://schemas.openxmlformats.org/officeDocument/2006/relationships/ctrlProp" Target="../ctrlProps/ctrlProp43.xml"/><Relationship Id="rId19" Type="http://schemas.openxmlformats.org/officeDocument/2006/relationships/ctrlProp" Target="../ctrlProps/ctrlProp52.xml"/><Relationship Id="rId31" Type="http://schemas.openxmlformats.org/officeDocument/2006/relationships/ctrlProp" Target="../ctrlProps/ctrlProp64.xml"/><Relationship Id="rId44" Type="http://schemas.openxmlformats.org/officeDocument/2006/relationships/ctrlProp" Target="../ctrlProps/ctrlProp77.xml"/><Relationship Id="rId52" Type="http://schemas.openxmlformats.org/officeDocument/2006/relationships/ctrlProp" Target="../ctrlProps/ctrlProp85.xml"/><Relationship Id="rId60" Type="http://schemas.openxmlformats.org/officeDocument/2006/relationships/ctrlProp" Target="../ctrlProps/ctrlProp93.xml"/><Relationship Id="rId65" Type="http://schemas.openxmlformats.org/officeDocument/2006/relationships/ctrlProp" Target="../ctrlProps/ctrlProp98.xml"/><Relationship Id="rId73" Type="http://schemas.openxmlformats.org/officeDocument/2006/relationships/ctrlProp" Target="../ctrlProps/ctrlProp106.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 Id="rId30" Type="http://schemas.openxmlformats.org/officeDocument/2006/relationships/ctrlProp" Target="../ctrlProps/ctrlProp63.xml"/><Relationship Id="rId35" Type="http://schemas.openxmlformats.org/officeDocument/2006/relationships/ctrlProp" Target="../ctrlProps/ctrlProp68.xml"/><Relationship Id="rId43" Type="http://schemas.openxmlformats.org/officeDocument/2006/relationships/ctrlProp" Target="../ctrlProps/ctrlProp76.xml"/><Relationship Id="rId48" Type="http://schemas.openxmlformats.org/officeDocument/2006/relationships/ctrlProp" Target="../ctrlProps/ctrlProp81.xml"/><Relationship Id="rId56" Type="http://schemas.openxmlformats.org/officeDocument/2006/relationships/ctrlProp" Target="../ctrlProps/ctrlProp89.xml"/><Relationship Id="rId64" Type="http://schemas.openxmlformats.org/officeDocument/2006/relationships/ctrlProp" Target="../ctrlProps/ctrlProp97.xml"/><Relationship Id="rId69" Type="http://schemas.openxmlformats.org/officeDocument/2006/relationships/ctrlProp" Target="../ctrlProps/ctrlProp102.xml"/><Relationship Id="rId8" Type="http://schemas.openxmlformats.org/officeDocument/2006/relationships/ctrlProp" Target="../ctrlProps/ctrlProp41.xml"/><Relationship Id="rId51" Type="http://schemas.openxmlformats.org/officeDocument/2006/relationships/ctrlProp" Target="../ctrlProps/ctrlProp84.xml"/><Relationship Id="rId72" Type="http://schemas.openxmlformats.org/officeDocument/2006/relationships/ctrlProp" Target="../ctrlProps/ctrlProp105.xml"/><Relationship Id="rId3" Type="http://schemas.openxmlformats.org/officeDocument/2006/relationships/vmlDrawing" Target="../drawings/vmlDrawing2.v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33" Type="http://schemas.openxmlformats.org/officeDocument/2006/relationships/ctrlProp" Target="../ctrlProps/ctrlProp66.xml"/><Relationship Id="rId38" Type="http://schemas.openxmlformats.org/officeDocument/2006/relationships/ctrlProp" Target="../ctrlProps/ctrlProp71.xml"/><Relationship Id="rId46" Type="http://schemas.openxmlformats.org/officeDocument/2006/relationships/ctrlProp" Target="../ctrlProps/ctrlProp79.xml"/><Relationship Id="rId59" Type="http://schemas.openxmlformats.org/officeDocument/2006/relationships/ctrlProp" Target="../ctrlProps/ctrlProp92.xml"/><Relationship Id="rId67" Type="http://schemas.openxmlformats.org/officeDocument/2006/relationships/ctrlProp" Target="../ctrlProps/ctrlProp100.xml"/><Relationship Id="rId20" Type="http://schemas.openxmlformats.org/officeDocument/2006/relationships/ctrlProp" Target="../ctrlProps/ctrlProp53.xml"/><Relationship Id="rId41" Type="http://schemas.openxmlformats.org/officeDocument/2006/relationships/ctrlProp" Target="../ctrlProps/ctrlProp74.xml"/><Relationship Id="rId54" Type="http://schemas.openxmlformats.org/officeDocument/2006/relationships/ctrlProp" Target="../ctrlProps/ctrlProp87.xml"/><Relationship Id="rId62" Type="http://schemas.openxmlformats.org/officeDocument/2006/relationships/ctrlProp" Target="../ctrlProps/ctrlProp95.xml"/><Relationship Id="rId70" Type="http://schemas.openxmlformats.org/officeDocument/2006/relationships/ctrlProp" Target="../ctrlProps/ctrlProp103.xml"/><Relationship Id="rId75" Type="http://schemas.openxmlformats.org/officeDocument/2006/relationships/ctrlProp" Target="../ctrlProps/ctrlProp108.xml"/><Relationship Id="rId1" Type="http://schemas.openxmlformats.org/officeDocument/2006/relationships/printerSettings" Target="../printerSettings/printerSettings4.bin"/><Relationship Id="rId6" Type="http://schemas.openxmlformats.org/officeDocument/2006/relationships/ctrlProp" Target="../ctrlProps/ctrlProp3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13.xml"/><Relationship Id="rId13" Type="http://schemas.openxmlformats.org/officeDocument/2006/relationships/ctrlProp" Target="../ctrlProps/ctrlProp118.xml"/><Relationship Id="rId18" Type="http://schemas.openxmlformats.org/officeDocument/2006/relationships/ctrlProp" Target="../ctrlProps/ctrlProp123.xml"/><Relationship Id="rId26" Type="http://schemas.openxmlformats.org/officeDocument/2006/relationships/ctrlProp" Target="../ctrlProps/ctrlProp131.xml"/><Relationship Id="rId39" Type="http://schemas.openxmlformats.org/officeDocument/2006/relationships/ctrlProp" Target="../ctrlProps/ctrlProp144.xml"/><Relationship Id="rId3" Type="http://schemas.openxmlformats.org/officeDocument/2006/relationships/vmlDrawing" Target="../drawings/vmlDrawing3.vml"/><Relationship Id="rId21" Type="http://schemas.openxmlformats.org/officeDocument/2006/relationships/ctrlProp" Target="../ctrlProps/ctrlProp126.xml"/><Relationship Id="rId34" Type="http://schemas.openxmlformats.org/officeDocument/2006/relationships/ctrlProp" Target="../ctrlProps/ctrlProp139.xml"/><Relationship Id="rId7" Type="http://schemas.openxmlformats.org/officeDocument/2006/relationships/ctrlProp" Target="../ctrlProps/ctrlProp112.xml"/><Relationship Id="rId12" Type="http://schemas.openxmlformats.org/officeDocument/2006/relationships/ctrlProp" Target="../ctrlProps/ctrlProp117.xml"/><Relationship Id="rId17" Type="http://schemas.openxmlformats.org/officeDocument/2006/relationships/ctrlProp" Target="../ctrlProps/ctrlProp122.xml"/><Relationship Id="rId25" Type="http://schemas.openxmlformats.org/officeDocument/2006/relationships/ctrlProp" Target="../ctrlProps/ctrlProp130.xml"/><Relationship Id="rId33" Type="http://schemas.openxmlformats.org/officeDocument/2006/relationships/ctrlProp" Target="../ctrlProps/ctrlProp138.xml"/><Relationship Id="rId38" Type="http://schemas.openxmlformats.org/officeDocument/2006/relationships/ctrlProp" Target="../ctrlProps/ctrlProp143.xml"/><Relationship Id="rId2" Type="http://schemas.openxmlformats.org/officeDocument/2006/relationships/drawing" Target="../drawings/drawing4.xml"/><Relationship Id="rId16" Type="http://schemas.openxmlformats.org/officeDocument/2006/relationships/ctrlProp" Target="../ctrlProps/ctrlProp121.xml"/><Relationship Id="rId20" Type="http://schemas.openxmlformats.org/officeDocument/2006/relationships/ctrlProp" Target="../ctrlProps/ctrlProp125.xml"/><Relationship Id="rId29" Type="http://schemas.openxmlformats.org/officeDocument/2006/relationships/ctrlProp" Target="../ctrlProps/ctrlProp134.xml"/><Relationship Id="rId1" Type="http://schemas.openxmlformats.org/officeDocument/2006/relationships/printerSettings" Target="../printerSettings/printerSettings5.bin"/><Relationship Id="rId6" Type="http://schemas.openxmlformats.org/officeDocument/2006/relationships/ctrlProp" Target="../ctrlProps/ctrlProp111.xml"/><Relationship Id="rId11" Type="http://schemas.openxmlformats.org/officeDocument/2006/relationships/ctrlProp" Target="../ctrlProps/ctrlProp116.xml"/><Relationship Id="rId24" Type="http://schemas.openxmlformats.org/officeDocument/2006/relationships/ctrlProp" Target="../ctrlProps/ctrlProp129.xml"/><Relationship Id="rId32" Type="http://schemas.openxmlformats.org/officeDocument/2006/relationships/ctrlProp" Target="../ctrlProps/ctrlProp137.xml"/><Relationship Id="rId37" Type="http://schemas.openxmlformats.org/officeDocument/2006/relationships/ctrlProp" Target="../ctrlProps/ctrlProp142.xml"/><Relationship Id="rId5" Type="http://schemas.openxmlformats.org/officeDocument/2006/relationships/ctrlProp" Target="../ctrlProps/ctrlProp110.xml"/><Relationship Id="rId15" Type="http://schemas.openxmlformats.org/officeDocument/2006/relationships/ctrlProp" Target="../ctrlProps/ctrlProp120.xml"/><Relationship Id="rId23" Type="http://schemas.openxmlformats.org/officeDocument/2006/relationships/ctrlProp" Target="../ctrlProps/ctrlProp128.xml"/><Relationship Id="rId28" Type="http://schemas.openxmlformats.org/officeDocument/2006/relationships/ctrlProp" Target="../ctrlProps/ctrlProp133.xml"/><Relationship Id="rId36" Type="http://schemas.openxmlformats.org/officeDocument/2006/relationships/ctrlProp" Target="../ctrlProps/ctrlProp141.xml"/><Relationship Id="rId10" Type="http://schemas.openxmlformats.org/officeDocument/2006/relationships/ctrlProp" Target="../ctrlProps/ctrlProp115.xml"/><Relationship Id="rId19" Type="http://schemas.openxmlformats.org/officeDocument/2006/relationships/ctrlProp" Target="../ctrlProps/ctrlProp124.xml"/><Relationship Id="rId31" Type="http://schemas.openxmlformats.org/officeDocument/2006/relationships/ctrlProp" Target="../ctrlProps/ctrlProp136.xml"/><Relationship Id="rId4" Type="http://schemas.openxmlformats.org/officeDocument/2006/relationships/ctrlProp" Target="../ctrlProps/ctrlProp109.xml"/><Relationship Id="rId9" Type="http://schemas.openxmlformats.org/officeDocument/2006/relationships/ctrlProp" Target="../ctrlProps/ctrlProp114.xml"/><Relationship Id="rId14" Type="http://schemas.openxmlformats.org/officeDocument/2006/relationships/ctrlProp" Target="../ctrlProps/ctrlProp119.xml"/><Relationship Id="rId22" Type="http://schemas.openxmlformats.org/officeDocument/2006/relationships/ctrlProp" Target="../ctrlProps/ctrlProp127.xml"/><Relationship Id="rId27" Type="http://schemas.openxmlformats.org/officeDocument/2006/relationships/ctrlProp" Target="../ctrlProps/ctrlProp132.xml"/><Relationship Id="rId30" Type="http://schemas.openxmlformats.org/officeDocument/2006/relationships/ctrlProp" Target="../ctrlProps/ctrlProp135.xml"/><Relationship Id="rId35" Type="http://schemas.openxmlformats.org/officeDocument/2006/relationships/ctrlProp" Target="../ctrlProps/ctrlProp14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49.xml"/><Relationship Id="rId13" Type="http://schemas.openxmlformats.org/officeDocument/2006/relationships/ctrlProp" Target="../ctrlProps/ctrlProp154.xml"/><Relationship Id="rId18" Type="http://schemas.openxmlformats.org/officeDocument/2006/relationships/ctrlProp" Target="../ctrlProps/ctrlProp159.xml"/><Relationship Id="rId26" Type="http://schemas.openxmlformats.org/officeDocument/2006/relationships/ctrlProp" Target="../ctrlProps/ctrlProp167.xml"/><Relationship Id="rId3" Type="http://schemas.openxmlformats.org/officeDocument/2006/relationships/vmlDrawing" Target="../drawings/vmlDrawing4.vml"/><Relationship Id="rId21" Type="http://schemas.openxmlformats.org/officeDocument/2006/relationships/ctrlProp" Target="../ctrlProps/ctrlProp162.xml"/><Relationship Id="rId7" Type="http://schemas.openxmlformats.org/officeDocument/2006/relationships/ctrlProp" Target="../ctrlProps/ctrlProp148.xml"/><Relationship Id="rId12" Type="http://schemas.openxmlformats.org/officeDocument/2006/relationships/ctrlProp" Target="../ctrlProps/ctrlProp153.xml"/><Relationship Id="rId17" Type="http://schemas.openxmlformats.org/officeDocument/2006/relationships/ctrlProp" Target="../ctrlProps/ctrlProp158.xml"/><Relationship Id="rId25" Type="http://schemas.openxmlformats.org/officeDocument/2006/relationships/ctrlProp" Target="../ctrlProps/ctrlProp166.xml"/><Relationship Id="rId33" Type="http://schemas.openxmlformats.org/officeDocument/2006/relationships/ctrlProp" Target="../ctrlProps/ctrlProp174.xml"/><Relationship Id="rId2" Type="http://schemas.openxmlformats.org/officeDocument/2006/relationships/drawing" Target="../drawings/drawing5.xml"/><Relationship Id="rId16" Type="http://schemas.openxmlformats.org/officeDocument/2006/relationships/ctrlProp" Target="../ctrlProps/ctrlProp157.xml"/><Relationship Id="rId20" Type="http://schemas.openxmlformats.org/officeDocument/2006/relationships/ctrlProp" Target="../ctrlProps/ctrlProp161.xml"/><Relationship Id="rId29" Type="http://schemas.openxmlformats.org/officeDocument/2006/relationships/ctrlProp" Target="../ctrlProps/ctrlProp170.xml"/><Relationship Id="rId1" Type="http://schemas.openxmlformats.org/officeDocument/2006/relationships/printerSettings" Target="../printerSettings/printerSettings6.bin"/><Relationship Id="rId6" Type="http://schemas.openxmlformats.org/officeDocument/2006/relationships/ctrlProp" Target="../ctrlProps/ctrlProp147.xml"/><Relationship Id="rId11" Type="http://schemas.openxmlformats.org/officeDocument/2006/relationships/ctrlProp" Target="../ctrlProps/ctrlProp152.xml"/><Relationship Id="rId24" Type="http://schemas.openxmlformats.org/officeDocument/2006/relationships/ctrlProp" Target="../ctrlProps/ctrlProp165.xml"/><Relationship Id="rId32" Type="http://schemas.openxmlformats.org/officeDocument/2006/relationships/ctrlProp" Target="../ctrlProps/ctrlProp173.xml"/><Relationship Id="rId5" Type="http://schemas.openxmlformats.org/officeDocument/2006/relationships/ctrlProp" Target="../ctrlProps/ctrlProp146.xml"/><Relationship Id="rId15" Type="http://schemas.openxmlformats.org/officeDocument/2006/relationships/ctrlProp" Target="../ctrlProps/ctrlProp156.xml"/><Relationship Id="rId23" Type="http://schemas.openxmlformats.org/officeDocument/2006/relationships/ctrlProp" Target="../ctrlProps/ctrlProp164.xml"/><Relationship Id="rId28" Type="http://schemas.openxmlformats.org/officeDocument/2006/relationships/ctrlProp" Target="../ctrlProps/ctrlProp169.xml"/><Relationship Id="rId10" Type="http://schemas.openxmlformats.org/officeDocument/2006/relationships/ctrlProp" Target="../ctrlProps/ctrlProp151.xml"/><Relationship Id="rId19" Type="http://schemas.openxmlformats.org/officeDocument/2006/relationships/ctrlProp" Target="../ctrlProps/ctrlProp160.xml"/><Relationship Id="rId31" Type="http://schemas.openxmlformats.org/officeDocument/2006/relationships/ctrlProp" Target="../ctrlProps/ctrlProp172.xml"/><Relationship Id="rId4" Type="http://schemas.openxmlformats.org/officeDocument/2006/relationships/ctrlProp" Target="../ctrlProps/ctrlProp145.xml"/><Relationship Id="rId9" Type="http://schemas.openxmlformats.org/officeDocument/2006/relationships/ctrlProp" Target="../ctrlProps/ctrlProp150.xml"/><Relationship Id="rId14" Type="http://schemas.openxmlformats.org/officeDocument/2006/relationships/ctrlProp" Target="../ctrlProps/ctrlProp155.xml"/><Relationship Id="rId22" Type="http://schemas.openxmlformats.org/officeDocument/2006/relationships/ctrlProp" Target="../ctrlProps/ctrlProp163.xml"/><Relationship Id="rId27" Type="http://schemas.openxmlformats.org/officeDocument/2006/relationships/ctrlProp" Target="../ctrlProps/ctrlProp168.xml"/><Relationship Id="rId30" Type="http://schemas.openxmlformats.org/officeDocument/2006/relationships/ctrlProp" Target="../ctrlProps/ctrlProp17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79.xml"/><Relationship Id="rId13" Type="http://schemas.openxmlformats.org/officeDocument/2006/relationships/ctrlProp" Target="../ctrlProps/ctrlProp184.xml"/><Relationship Id="rId18" Type="http://schemas.openxmlformats.org/officeDocument/2006/relationships/ctrlProp" Target="../ctrlProps/ctrlProp189.xml"/><Relationship Id="rId26" Type="http://schemas.openxmlformats.org/officeDocument/2006/relationships/ctrlProp" Target="../ctrlProps/ctrlProp197.xml"/><Relationship Id="rId3" Type="http://schemas.openxmlformats.org/officeDocument/2006/relationships/vmlDrawing" Target="../drawings/vmlDrawing5.vml"/><Relationship Id="rId21" Type="http://schemas.openxmlformats.org/officeDocument/2006/relationships/ctrlProp" Target="../ctrlProps/ctrlProp192.xml"/><Relationship Id="rId7" Type="http://schemas.openxmlformats.org/officeDocument/2006/relationships/ctrlProp" Target="../ctrlProps/ctrlProp178.xml"/><Relationship Id="rId12" Type="http://schemas.openxmlformats.org/officeDocument/2006/relationships/ctrlProp" Target="../ctrlProps/ctrlProp183.xml"/><Relationship Id="rId17" Type="http://schemas.openxmlformats.org/officeDocument/2006/relationships/ctrlProp" Target="../ctrlProps/ctrlProp188.xml"/><Relationship Id="rId25" Type="http://schemas.openxmlformats.org/officeDocument/2006/relationships/ctrlProp" Target="../ctrlProps/ctrlProp196.xml"/><Relationship Id="rId2" Type="http://schemas.openxmlformats.org/officeDocument/2006/relationships/drawing" Target="../drawings/drawing6.xml"/><Relationship Id="rId16" Type="http://schemas.openxmlformats.org/officeDocument/2006/relationships/ctrlProp" Target="../ctrlProps/ctrlProp187.xml"/><Relationship Id="rId20" Type="http://schemas.openxmlformats.org/officeDocument/2006/relationships/ctrlProp" Target="../ctrlProps/ctrlProp191.xml"/><Relationship Id="rId1" Type="http://schemas.openxmlformats.org/officeDocument/2006/relationships/printerSettings" Target="../printerSettings/printerSettings7.bin"/><Relationship Id="rId6" Type="http://schemas.openxmlformats.org/officeDocument/2006/relationships/ctrlProp" Target="../ctrlProps/ctrlProp177.xml"/><Relationship Id="rId11" Type="http://schemas.openxmlformats.org/officeDocument/2006/relationships/ctrlProp" Target="../ctrlProps/ctrlProp182.xml"/><Relationship Id="rId24" Type="http://schemas.openxmlformats.org/officeDocument/2006/relationships/ctrlProp" Target="../ctrlProps/ctrlProp195.xml"/><Relationship Id="rId5" Type="http://schemas.openxmlformats.org/officeDocument/2006/relationships/ctrlProp" Target="../ctrlProps/ctrlProp176.xml"/><Relationship Id="rId15" Type="http://schemas.openxmlformats.org/officeDocument/2006/relationships/ctrlProp" Target="../ctrlProps/ctrlProp186.xml"/><Relationship Id="rId23" Type="http://schemas.openxmlformats.org/officeDocument/2006/relationships/ctrlProp" Target="../ctrlProps/ctrlProp194.xml"/><Relationship Id="rId10" Type="http://schemas.openxmlformats.org/officeDocument/2006/relationships/ctrlProp" Target="../ctrlProps/ctrlProp181.xml"/><Relationship Id="rId19" Type="http://schemas.openxmlformats.org/officeDocument/2006/relationships/ctrlProp" Target="../ctrlProps/ctrlProp190.xml"/><Relationship Id="rId4" Type="http://schemas.openxmlformats.org/officeDocument/2006/relationships/ctrlProp" Target="../ctrlProps/ctrlProp175.xml"/><Relationship Id="rId9" Type="http://schemas.openxmlformats.org/officeDocument/2006/relationships/ctrlProp" Target="../ctrlProps/ctrlProp180.xml"/><Relationship Id="rId14" Type="http://schemas.openxmlformats.org/officeDocument/2006/relationships/ctrlProp" Target="../ctrlProps/ctrlProp185.xml"/><Relationship Id="rId22" Type="http://schemas.openxmlformats.org/officeDocument/2006/relationships/ctrlProp" Target="../ctrlProps/ctrlProp193.xml"/><Relationship Id="rId27" Type="http://schemas.openxmlformats.org/officeDocument/2006/relationships/ctrlProp" Target="../ctrlProps/ctrlProp198.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03.xml"/><Relationship Id="rId3" Type="http://schemas.openxmlformats.org/officeDocument/2006/relationships/vmlDrawing" Target="../drawings/vmlDrawing6.vml"/><Relationship Id="rId7" Type="http://schemas.openxmlformats.org/officeDocument/2006/relationships/ctrlProp" Target="../ctrlProps/ctrlProp202.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201.xml"/><Relationship Id="rId5" Type="http://schemas.openxmlformats.org/officeDocument/2006/relationships/ctrlProp" Target="../ctrlProps/ctrlProp200.xml"/><Relationship Id="rId4" Type="http://schemas.openxmlformats.org/officeDocument/2006/relationships/ctrlProp" Target="../ctrlProps/ctrlProp199.xml"/><Relationship Id="rId9" Type="http://schemas.openxmlformats.org/officeDocument/2006/relationships/ctrlProp" Target="../ctrlProps/ctrlProp20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E8E35-4F4A-4ACA-9602-2104099D4A23}">
  <dimension ref="A1:W46"/>
  <sheetViews>
    <sheetView tabSelected="1" zoomScale="90" zoomScaleNormal="90" zoomScaleSheetLayoutView="85" workbookViewId="0">
      <pane ySplit="2" topLeftCell="A3" activePane="bottomLeft" state="frozen"/>
      <selection pane="bottomLeft" activeCell="M17" sqref="M17"/>
    </sheetView>
  </sheetViews>
  <sheetFormatPr baseColWidth="10" defaultColWidth="11.42578125" defaultRowHeight="14.25"/>
  <cols>
    <col min="1" max="1" width="11.42578125" style="384"/>
    <col min="2" max="2" width="116.7109375" style="384" customWidth="1"/>
    <col min="3" max="10" width="11" style="384" customWidth="1"/>
    <col min="11" max="11" width="11" style="385" customWidth="1"/>
    <col min="12" max="18" width="11" style="384" customWidth="1"/>
    <col min="19" max="16384" width="11.42578125" style="384"/>
  </cols>
  <sheetData>
    <row r="1" spans="1:23" s="414" customFormat="1" ht="37.5" customHeight="1">
      <c r="B1" s="414" t="s">
        <v>0</v>
      </c>
    </row>
    <row r="2" spans="1:23" s="382" customFormat="1" ht="94.5" customHeight="1">
      <c r="A2" s="128"/>
      <c r="B2" s="402" t="s">
        <v>484</v>
      </c>
      <c r="C2" s="128"/>
      <c r="D2" s="128"/>
      <c r="E2" s="128"/>
      <c r="F2" s="128"/>
      <c r="G2" s="128"/>
      <c r="H2" s="128"/>
      <c r="I2" s="128"/>
      <c r="J2" s="128"/>
      <c r="K2" s="128"/>
      <c r="L2" s="128"/>
      <c r="M2" s="128"/>
      <c r="N2" s="128"/>
      <c r="O2" s="128"/>
      <c r="P2" s="128"/>
      <c r="Q2" s="128"/>
      <c r="R2" s="128"/>
      <c r="S2" s="128"/>
      <c r="T2" s="128"/>
      <c r="U2" s="128"/>
      <c r="V2" s="128"/>
      <c r="W2" s="128"/>
    </row>
    <row r="3" spans="1:23" s="383" customFormat="1" ht="18">
      <c r="A3" s="389"/>
      <c r="B3" s="389"/>
      <c r="C3" s="127"/>
      <c r="D3" s="403"/>
      <c r="E3" s="403"/>
      <c r="F3" s="403"/>
      <c r="G3" s="404"/>
      <c r="H3" s="405"/>
      <c r="I3" s="405"/>
      <c r="J3" s="406"/>
      <c r="K3" s="406"/>
      <c r="L3" s="406"/>
      <c r="M3" s="406"/>
      <c r="N3" s="389"/>
      <c r="O3" s="389"/>
      <c r="P3" s="389"/>
      <c r="Q3" s="389"/>
      <c r="R3" s="389"/>
      <c r="S3" s="389"/>
      <c r="T3" s="389"/>
      <c r="U3" s="389"/>
      <c r="V3" s="389"/>
      <c r="W3" s="389"/>
    </row>
    <row r="4" spans="1:23" s="383" customFormat="1" ht="18">
      <c r="A4" s="389"/>
      <c r="B4" s="387" t="s">
        <v>463</v>
      </c>
      <c r="C4" s="127"/>
      <c r="D4" s="403"/>
      <c r="E4" s="403"/>
      <c r="F4" s="403"/>
      <c r="G4" s="404"/>
      <c r="H4" s="405"/>
      <c r="I4" s="405"/>
      <c r="J4" s="406"/>
      <c r="K4" s="406"/>
      <c r="L4" s="406"/>
      <c r="M4" s="406"/>
      <c r="N4" s="389"/>
      <c r="O4" s="389"/>
      <c r="P4" s="389"/>
      <c r="Q4" s="389"/>
      <c r="R4" s="389"/>
      <c r="S4" s="389"/>
      <c r="T4" s="389"/>
      <c r="U4" s="389"/>
      <c r="V4" s="389"/>
      <c r="W4" s="389"/>
    </row>
    <row r="5" spans="1:23" s="383" customFormat="1" ht="67.5" customHeight="1">
      <c r="A5" s="389"/>
      <c r="B5" s="392" t="s">
        <v>478</v>
      </c>
      <c r="C5" s="389"/>
      <c r="D5" s="403"/>
      <c r="E5" s="403"/>
      <c r="F5" s="403"/>
      <c r="G5" s="404"/>
      <c r="H5" s="405"/>
      <c r="I5" s="405"/>
      <c r="J5" s="389"/>
      <c r="K5" s="127"/>
      <c r="L5" s="403"/>
      <c r="M5" s="403"/>
      <c r="N5" s="405"/>
      <c r="O5" s="389"/>
      <c r="P5" s="389"/>
      <c r="Q5" s="389"/>
      <c r="R5" s="389"/>
      <c r="S5" s="389"/>
      <c r="T5" s="389"/>
      <c r="U5" s="389"/>
      <c r="V5" s="389"/>
      <c r="W5" s="389"/>
    </row>
    <row r="6" spans="1:23" s="383" customFormat="1" ht="15" customHeight="1">
      <c r="A6" s="389"/>
      <c r="B6" s="392"/>
      <c r="C6" s="389"/>
      <c r="D6" s="403"/>
      <c r="E6" s="403"/>
      <c r="F6" s="403"/>
      <c r="G6" s="404"/>
      <c r="H6" s="405"/>
      <c r="I6" s="405"/>
      <c r="J6" s="389"/>
      <c r="K6" s="127"/>
      <c r="L6" s="403"/>
      <c r="M6" s="403"/>
      <c r="N6" s="405"/>
      <c r="O6" s="389"/>
      <c r="P6" s="389"/>
      <c r="Q6" s="389"/>
      <c r="R6" s="389"/>
      <c r="S6" s="389"/>
      <c r="T6" s="389"/>
      <c r="U6" s="389"/>
      <c r="V6" s="389"/>
      <c r="W6" s="389"/>
    </row>
    <row r="7" spans="1:23" s="383" customFormat="1" ht="18">
      <c r="A7" s="389"/>
      <c r="B7" s="387" t="s">
        <v>472</v>
      </c>
      <c r="C7" s="389"/>
      <c r="D7" s="403"/>
      <c r="E7" s="403"/>
      <c r="F7" s="403"/>
      <c r="G7" s="404"/>
      <c r="H7" s="405"/>
      <c r="I7" s="405"/>
      <c r="J7" s="389"/>
      <c r="K7" s="127"/>
      <c r="L7" s="403"/>
      <c r="M7" s="403"/>
      <c r="N7" s="405"/>
      <c r="O7" s="389"/>
      <c r="P7" s="389"/>
      <c r="Q7" s="389"/>
      <c r="R7" s="389"/>
      <c r="S7" s="389"/>
      <c r="T7" s="389"/>
      <c r="U7" s="389"/>
      <c r="V7" s="389"/>
      <c r="W7" s="389"/>
    </row>
    <row r="8" spans="1:23" s="383" customFormat="1" ht="44.25" customHeight="1">
      <c r="A8" s="389"/>
      <c r="B8" s="393" t="s">
        <v>477</v>
      </c>
      <c r="C8" s="389"/>
      <c r="D8" s="389"/>
      <c r="E8" s="389"/>
      <c r="F8" s="389"/>
      <c r="G8" s="389"/>
      <c r="H8" s="407"/>
      <c r="I8" s="407"/>
      <c r="J8" s="389"/>
      <c r="K8" s="408"/>
      <c r="L8" s="389"/>
      <c r="M8" s="389"/>
      <c r="N8" s="390"/>
      <c r="O8" s="389"/>
      <c r="P8" s="389"/>
      <c r="Q8" s="389"/>
      <c r="R8" s="389"/>
      <c r="S8" s="389"/>
      <c r="T8" s="389"/>
      <c r="U8" s="389"/>
      <c r="V8" s="389"/>
      <c r="W8" s="389"/>
    </row>
    <row r="9" spans="1:23" ht="15">
      <c r="A9" s="390"/>
      <c r="B9" s="390"/>
      <c r="C9" s="390"/>
      <c r="D9" s="409"/>
      <c r="E9" s="389"/>
      <c r="F9" s="389"/>
      <c r="G9" s="389"/>
      <c r="H9" s="390"/>
      <c r="I9" s="390"/>
      <c r="J9" s="390"/>
      <c r="K9" s="438"/>
      <c r="L9" s="438"/>
      <c r="M9" s="438"/>
      <c r="N9" s="390"/>
      <c r="O9" s="390"/>
      <c r="P9" s="390"/>
      <c r="Q9" s="390"/>
      <c r="R9" s="390"/>
      <c r="S9" s="390"/>
      <c r="T9" s="390"/>
      <c r="U9" s="390"/>
      <c r="V9" s="390"/>
      <c r="W9" s="390"/>
    </row>
    <row r="10" spans="1:23" ht="15">
      <c r="A10" s="390"/>
      <c r="B10" s="387" t="s">
        <v>473</v>
      </c>
      <c r="C10" s="390"/>
      <c r="D10" s="390"/>
      <c r="E10" s="390"/>
      <c r="F10" s="390"/>
      <c r="G10" s="390"/>
      <c r="H10" s="390"/>
      <c r="I10" s="390"/>
      <c r="J10" s="390"/>
      <c r="K10" s="390"/>
      <c r="L10" s="390"/>
      <c r="M10" s="390"/>
      <c r="N10" s="390"/>
      <c r="O10" s="390"/>
      <c r="P10" s="390"/>
      <c r="Q10" s="390"/>
      <c r="R10" s="390"/>
      <c r="S10" s="390"/>
      <c r="T10" s="390"/>
      <c r="U10" s="390"/>
      <c r="V10" s="390"/>
      <c r="W10" s="390"/>
    </row>
    <row r="11" spans="1:23" ht="15">
      <c r="A11" s="390"/>
      <c r="B11" s="388" t="s">
        <v>464</v>
      </c>
      <c r="C11" s="391"/>
      <c r="D11" s="390"/>
      <c r="E11" s="390"/>
      <c r="F11" s="390"/>
      <c r="G11" s="390"/>
      <c r="H11" s="390"/>
      <c r="I11" s="390"/>
      <c r="J11" s="390"/>
      <c r="K11" s="391"/>
      <c r="L11" s="390"/>
      <c r="M11" s="390"/>
      <c r="N11" s="390"/>
      <c r="O11" s="390"/>
      <c r="P11" s="390"/>
      <c r="Q11" s="390"/>
      <c r="R11" s="390"/>
      <c r="S11" s="390"/>
      <c r="T11" s="390"/>
      <c r="U11" s="390"/>
      <c r="V11" s="390"/>
      <c r="W11" s="390"/>
    </row>
    <row r="12" spans="1:23" ht="44.25" customHeight="1">
      <c r="A12" s="390"/>
      <c r="B12" s="394" t="s">
        <v>479</v>
      </c>
      <c r="C12" s="390"/>
      <c r="D12" s="410"/>
      <c r="E12" s="410"/>
      <c r="F12" s="410"/>
      <c r="G12" s="410"/>
      <c r="H12" s="390"/>
      <c r="I12" s="390"/>
      <c r="J12" s="390"/>
      <c r="K12" s="439"/>
      <c r="L12" s="439"/>
      <c r="M12" s="439"/>
      <c r="N12" s="390"/>
      <c r="O12" s="390"/>
      <c r="P12" s="390"/>
      <c r="Q12" s="390"/>
      <c r="R12" s="390"/>
      <c r="S12" s="390"/>
      <c r="T12" s="390"/>
      <c r="U12" s="390"/>
      <c r="V12" s="390"/>
      <c r="W12" s="390"/>
    </row>
    <row r="13" spans="1:23">
      <c r="A13" s="390"/>
      <c r="B13" s="394"/>
      <c r="C13" s="390"/>
      <c r="D13" s="410"/>
      <c r="E13" s="410"/>
      <c r="F13" s="410"/>
      <c r="G13" s="410"/>
      <c r="H13" s="390"/>
      <c r="I13" s="390"/>
      <c r="J13" s="390"/>
      <c r="K13" s="411"/>
      <c r="L13" s="411"/>
      <c r="M13" s="411"/>
      <c r="N13" s="390"/>
      <c r="O13" s="390"/>
      <c r="P13" s="390"/>
      <c r="Q13" s="390"/>
      <c r="R13" s="390"/>
      <c r="S13" s="390"/>
      <c r="T13" s="390"/>
      <c r="U13" s="390"/>
      <c r="V13" s="390"/>
      <c r="W13" s="390"/>
    </row>
    <row r="14" spans="1:23" ht="15">
      <c r="A14" s="390"/>
      <c r="B14" s="388" t="s">
        <v>471</v>
      </c>
      <c r="C14" s="391"/>
      <c r="D14" s="412"/>
      <c r="E14" s="412"/>
      <c r="F14" s="412"/>
      <c r="G14" s="412"/>
      <c r="H14" s="390"/>
      <c r="I14" s="390"/>
      <c r="J14" s="390"/>
      <c r="K14" s="389"/>
      <c r="L14" s="389"/>
      <c r="M14" s="389"/>
      <c r="N14" s="390"/>
      <c r="O14" s="390"/>
      <c r="P14" s="390"/>
      <c r="Q14" s="390"/>
      <c r="R14" s="390"/>
      <c r="S14" s="390"/>
      <c r="T14" s="390"/>
      <c r="U14" s="390"/>
      <c r="V14" s="390"/>
      <c r="W14" s="390"/>
    </row>
    <row r="15" spans="1:23" ht="29.25">
      <c r="A15" s="390"/>
      <c r="B15" s="395" t="s">
        <v>480</v>
      </c>
      <c r="C15" s="391"/>
      <c r="D15" s="391"/>
      <c r="E15" s="391"/>
      <c r="F15" s="391"/>
      <c r="G15" s="391"/>
      <c r="H15" s="390"/>
      <c r="I15" s="390"/>
      <c r="J15" s="390"/>
      <c r="K15" s="389"/>
      <c r="L15" s="389"/>
      <c r="M15" s="389"/>
      <c r="N15" s="390"/>
      <c r="O15" s="390"/>
      <c r="P15" s="390"/>
      <c r="Q15" s="390"/>
      <c r="R15" s="390"/>
      <c r="S15" s="390"/>
      <c r="T15" s="390"/>
      <c r="U15" s="390"/>
      <c r="V15" s="390"/>
      <c r="W15" s="390"/>
    </row>
    <row r="16" spans="1:23" ht="15">
      <c r="A16" s="390"/>
      <c r="B16" s="390"/>
      <c r="C16" s="391"/>
      <c r="D16" s="391"/>
      <c r="E16" s="391"/>
      <c r="F16" s="391"/>
      <c r="G16" s="391"/>
      <c r="H16" s="390"/>
      <c r="I16" s="390"/>
      <c r="J16" s="390"/>
      <c r="K16" s="389"/>
      <c r="L16" s="389"/>
      <c r="M16" s="389"/>
      <c r="N16" s="390"/>
      <c r="O16" s="390"/>
      <c r="P16" s="390"/>
      <c r="Q16" s="390"/>
      <c r="R16" s="390"/>
      <c r="S16" s="390"/>
      <c r="T16" s="390"/>
      <c r="U16" s="390"/>
      <c r="V16" s="390"/>
      <c r="W16" s="390"/>
    </row>
    <row r="17" spans="1:23" ht="15">
      <c r="A17" s="390"/>
      <c r="B17" s="388" t="s">
        <v>465</v>
      </c>
      <c r="C17" s="390"/>
      <c r="D17" s="413"/>
      <c r="E17" s="413"/>
      <c r="F17" s="413"/>
      <c r="G17" s="413"/>
      <c r="H17" s="413"/>
      <c r="I17" s="390"/>
      <c r="J17" s="390"/>
      <c r="K17" s="395"/>
      <c r="L17" s="390"/>
      <c r="M17" s="390"/>
      <c r="N17" s="390"/>
      <c r="O17" s="390"/>
      <c r="P17" s="390"/>
      <c r="Q17" s="390"/>
      <c r="R17" s="390"/>
      <c r="S17" s="390"/>
      <c r="T17" s="390"/>
      <c r="U17" s="390"/>
      <c r="V17" s="390"/>
      <c r="W17" s="390"/>
    </row>
    <row r="18" spans="1:23" ht="85.5">
      <c r="A18" s="390"/>
      <c r="B18" s="394" t="s">
        <v>481</v>
      </c>
      <c r="C18" s="390"/>
      <c r="D18" s="412"/>
      <c r="E18" s="412"/>
      <c r="F18" s="412"/>
      <c r="G18" s="412"/>
      <c r="H18" s="413"/>
      <c r="I18" s="390"/>
      <c r="J18" s="390"/>
      <c r="K18" s="395"/>
      <c r="L18" s="390"/>
      <c r="M18" s="390"/>
      <c r="N18" s="390"/>
      <c r="O18" s="390"/>
      <c r="P18" s="390"/>
      <c r="Q18" s="390"/>
      <c r="R18" s="390"/>
      <c r="S18" s="390"/>
      <c r="T18" s="390"/>
      <c r="U18" s="390"/>
      <c r="V18" s="390"/>
      <c r="W18" s="390"/>
    </row>
    <row r="19" spans="1:23">
      <c r="A19" s="390"/>
      <c r="B19" s="390"/>
      <c r="C19" s="390"/>
      <c r="D19" s="389"/>
      <c r="E19" s="389"/>
      <c r="F19" s="389"/>
      <c r="G19" s="389"/>
      <c r="H19" s="413"/>
      <c r="I19" s="390"/>
      <c r="J19" s="390"/>
      <c r="K19" s="395"/>
      <c r="L19" s="390"/>
      <c r="M19" s="390"/>
      <c r="N19" s="390"/>
      <c r="O19" s="390"/>
      <c r="P19" s="390"/>
      <c r="Q19" s="390"/>
      <c r="R19" s="390"/>
      <c r="S19" s="390"/>
      <c r="T19" s="390"/>
      <c r="U19" s="390"/>
      <c r="V19" s="390"/>
      <c r="W19" s="390"/>
    </row>
    <row r="20" spans="1:23" ht="15">
      <c r="A20" s="390"/>
      <c r="B20" s="388" t="s">
        <v>466</v>
      </c>
      <c r="C20" s="391"/>
      <c r="D20" s="390"/>
      <c r="E20" s="390"/>
      <c r="F20" s="390"/>
      <c r="G20" s="390"/>
      <c r="H20" s="390"/>
      <c r="I20" s="390"/>
      <c r="J20" s="390"/>
      <c r="K20" s="395"/>
      <c r="L20" s="390"/>
      <c r="M20" s="390"/>
      <c r="N20" s="390"/>
      <c r="O20" s="390"/>
      <c r="P20" s="390"/>
      <c r="Q20" s="390"/>
      <c r="R20" s="390"/>
      <c r="S20" s="390"/>
      <c r="T20" s="390"/>
      <c r="U20" s="390"/>
      <c r="V20" s="390"/>
      <c r="W20" s="390"/>
    </row>
    <row r="21" spans="1:23" ht="28.5">
      <c r="A21" s="390"/>
      <c r="B21" s="394" t="s">
        <v>474</v>
      </c>
      <c r="C21" s="390"/>
      <c r="D21" s="413"/>
      <c r="E21" s="413"/>
      <c r="F21" s="413"/>
      <c r="G21" s="413"/>
      <c r="H21" s="390"/>
      <c r="I21" s="390"/>
      <c r="J21" s="390"/>
      <c r="K21" s="395"/>
      <c r="L21" s="390"/>
      <c r="M21" s="390"/>
      <c r="N21" s="390"/>
      <c r="O21" s="390"/>
      <c r="P21" s="390"/>
      <c r="Q21" s="390"/>
      <c r="R21" s="390"/>
      <c r="S21" s="390"/>
      <c r="T21" s="390"/>
      <c r="U21" s="390"/>
      <c r="V21" s="390"/>
      <c r="W21" s="390"/>
    </row>
    <row r="22" spans="1:23">
      <c r="A22" s="390"/>
      <c r="B22" s="390"/>
      <c r="C22" s="390"/>
      <c r="D22" s="390"/>
      <c r="E22" s="390"/>
      <c r="F22" s="390"/>
      <c r="G22" s="390"/>
      <c r="H22" s="390"/>
      <c r="I22" s="390"/>
      <c r="J22" s="390"/>
      <c r="K22" s="395"/>
      <c r="L22" s="390"/>
      <c r="M22" s="390"/>
      <c r="N22" s="390"/>
      <c r="O22" s="390"/>
      <c r="P22" s="390"/>
      <c r="Q22" s="390"/>
      <c r="R22" s="390"/>
      <c r="S22" s="390"/>
      <c r="T22" s="390"/>
      <c r="U22" s="390"/>
      <c r="V22" s="390"/>
      <c r="W22" s="390"/>
    </row>
    <row r="23" spans="1:23" ht="15">
      <c r="A23" s="390"/>
      <c r="B23" s="387" t="s">
        <v>475</v>
      </c>
      <c r="C23" s="390"/>
      <c r="D23" s="390"/>
      <c r="E23" s="390"/>
      <c r="F23" s="390"/>
      <c r="G23" s="390"/>
      <c r="H23" s="390"/>
      <c r="I23" s="390"/>
      <c r="J23" s="390"/>
      <c r="K23" s="395"/>
      <c r="L23" s="390"/>
      <c r="M23" s="390"/>
      <c r="N23" s="390"/>
      <c r="O23" s="390"/>
      <c r="P23" s="390"/>
      <c r="Q23" s="390"/>
      <c r="R23" s="390"/>
      <c r="S23" s="390"/>
      <c r="T23" s="390"/>
      <c r="U23" s="390"/>
      <c r="V23" s="390"/>
      <c r="W23" s="390"/>
    </row>
    <row r="24" spans="1:23" ht="15">
      <c r="A24" s="390"/>
      <c r="B24" s="391" t="s">
        <v>467</v>
      </c>
      <c r="C24" s="390"/>
      <c r="D24" s="390"/>
      <c r="E24" s="390"/>
      <c r="F24" s="390"/>
      <c r="G24" s="390"/>
      <c r="H24" s="390"/>
      <c r="I24" s="390"/>
      <c r="J24" s="390"/>
      <c r="K24" s="395"/>
      <c r="L24" s="390"/>
      <c r="M24" s="390"/>
      <c r="N24" s="390"/>
      <c r="O24" s="390"/>
      <c r="P24" s="390"/>
      <c r="Q24" s="390"/>
      <c r="R24" s="390"/>
      <c r="S24" s="390"/>
      <c r="T24" s="390"/>
      <c r="U24" s="390"/>
      <c r="V24" s="390"/>
      <c r="W24" s="390"/>
    </row>
    <row r="25" spans="1:23" ht="28.5">
      <c r="A25" s="390"/>
      <c r="B25" s="395" t="s">
        <v>470</v>
      </c>
      <c r="C25" s="390"/>
      <c r="D25" s="390"/>
      <c r="E25" s="390"/>
      <c r="F25" s="390"/>
      <c r="G25" s="390"/>
      <c r="H25" s="390"/>
      <c r="I25" s="390"/>
      <c r="J25" s="390"/>
      <c r="K25" s="395"/>
      <c r="L25" s="390"/>
      <c r="M25" s="390"/>
      <c r="N25" s="390"/>
      <c r="O25" s="390"/>
      <c r="P25" s="390"/>
      <c r="Q25" s="390"/>
      <c r="R25" s="390"/>
      <c r="S25" s="390"/>
      <c r="T25" s="390"/>
      <c r="U25" s="390"/>
      <c r="V25" s="390"/>
      <c r="W25" s="390"/>
    </row>
    <row r="26" spans="1:23">
      <c r="A26" s="390"/>
      <c r="B26" s="390"/>
      <c r="C26" s="390"/>
      <c r="D26" s="390"/>
      <c r="E26" s="390"/>
      <c r="F26" s="390"/>
      <c r="G26" s="390"/>
      <c r="H26" s="390"/>
      <c r="I26" s="390"/>
      <c r="J26" s="390"/>
      <c r="K26" s="395"/>
      <c r="L26" s="390"/>
      <c r="M26" s="390"/>
      <c r="N26" s="390"/>
      <c r="O26" s="390"/>
      <c r="P26" s="390"/>
      <c r="Q26" s="390"/>
      <c r="R26" s="390"/>
      <c r="S26" s="390"/>
      <c r="T26" s="390"/>
      <c r="U26" s="390"/>
      <c r="V26" s="390"/>
      <c r="W26" s="390"/>
    </row>
    <row r="27" spans="1:23" ht="15">
      <c r="A27" s="390"/>
      <c r="B27" s="391" t="s">
        <v>468</v>
      </c>
      <c r="C27" s="390"/>
      <c r="D27" s="390"/>
      <c r="E27" s="390"/>
      <c r="F27" s="390"/>
      <c r="G27" s="390"/>
      <c r="H27" s="390"/>
      <c r="I27" s="390"/>
      <c r="J27" s="390"/>
      <c r="K27" s="395"/>
      <c r="L27" s="390"/>
      <c r="M27" s="390"/>
      <c r="N27" s="390"/>
      <c r="O27" s="390"/>
      <c r="P27" s="390"/>
      <c r="Q27" s="390"/>
      <c r="R27" s="390"/>
      <c r="S27" s="390"/>
      <c r="T27" s="390"/>
      <c r="U27" s="390"/>
      <c r="V27" s="390"/>
      <c r="W27" s="390"/>
    </row>
    <row r="28" spans="1:23" ht="60.75" customHeight="1">
      <c r="A28" s="390"/>
      <c r="B28" s="394" t="s">
        <v>483</v>
      </c>
      <c r="C28" s="390"/>
      <c r="D28" s="390"/>
      <c r="E28" s="390"/>
      <c r="F28" s="390"/>
      <c r="G28" s="390"/>
      <c r="H28" s="390"/>
      <c r="I28" s="390"/>
      <c r="J28" s="390"/>
      <c r="K28" s="395"/>
      <c r="L28" s="390"/>
      <c r="M28" s="390"/>
      <c r="N28" s="390"/>
      <c r="O28" s="390"/>
      <c r="P28" s="390"/>
      <c r="Q28" s="390"/>
      <c r="R28" s="390"/>
      <c r="S28" s="390"/>
      <c r="T28" s="390"/>
      <c r="U28" s="390"/>
      <c r="V28" s="390"/>
      <c r="W28" s="390"/>
    </row>
    <row r="29" spans="1:23">
      <c r="A29" s="390"/>
      <c r="B29" s="390"/>
      <c r="C29" s="390"/>
      <c r="D29" s="390"/>
      <c r="E29" s="390"/>
      <c r="F29" s="390"/>
      <c r="G29" s="390"/>
      <c r="H29" s="390"/>
      <c r="I29" s="390"/>
      <c r="J29" s="390"/>
      <c r="K29" s="395"/>
      <c r="L29" s="390"/>
      <c r="M29" s="390"/>
      <c r="N29" s="390"/>
      <c r="O29" s="390"/>
      <c r="P29" s="390"/>
      <c r="Q29" s="390"/>
      <c r="R29" s="390"/>
      <c r="S29" s="390"/>
      <c r="T29" s="390"/>
      <c r="U29" s="390"/>
      <c r="V29" s="390"/>
      <c r="W29" s="390"/>
    </row>
    <row r="30" spans="1:23" ht="15">
      <c r="A30" s="390"/>
      <c r="B30" s="391" t="s">
        <v>469</v>
      </c>
      <c r="C30" s="390"/>
      <c r="D30" s="390"/>
      <c r="E30" s="390"/>
      <c r="F30" s="390"/>
      <c r="G30" s="390"/>
      <c r="H30" s="390"/>
      <c r="I30" s="390"/>
      <c r="J30" s="390"/>
      <c r="K30" s="395"/>
      <c r="L30" s="390"/>
      <c r="M30" s="390"/>
      <c r="N30" s="390"/>
      <c r="O30" s="390"/>
      <c r="P30" s="390"/>
      <c r="Q30" s="390"/>
      <c r="R30" s="390"/>
      <c r="S30" s="390"/>
      <c r="T30" s="390"/>
      <c r="U30" s="390"/>
      <c r="V30" s="390"/>
      <c r="W30" s="390"/>
    </row>
    <row r="31" spans="1:23">
      <c r="A31" s="390"/>
      <c r="B31" s="390"/>
      <c r="C31" s="390"/>
      <c r="D31" s="390"/>
      <c r="E31" s="390"/>
      <c r="F31" s="390"/>
      <c r="G31" s="390"/>
      <c r="H31" s="390"/>
      <c r="I31" s="390"/>
      <c r="J31" s="390"/>
      <c r="K31" s="395"/>
      <c r="L31" s="390"/>
      <c r="M31" s="390"/>
      <c r="N31" s="390"/>
      <c r="O31" s="390"/>
      <c r="P31" s="390"/>
      <c r="Q31" s="390"/>
      <c r="R31" s="390"/>
      <c r="S31" s="390"/>
      <c r="T31" s="390"/>
      <c r="U31" s="390"/>
      <c r="V31" s="390"/>
      <c r="W31" s="390"/>
    </row>
    <row r="32" spans="1:23">
      <c r="A32" s="390"/>
      <c r="B32" s="390"/>
      <c r="C32" s="390"/>
      <c r="D32" s="390"/>
      <c r="E32" s="390"/>
      <c r="F32" s="390"/>
      <c r="G32" s="390"/>
      <c r="H32" s="390"/>
      <c r="I32" s="390"/>
      <c r="J32" s="390"/>
      <c r="K32" s="395"/>
      <c r="L32" s="390"/>
      <c r="M32" s="390"/>
      <c r="N32" s="390"/>
      <c r="O32" s="390"/>
      <c r="P32" s="390"/>
      <c r="Q32" s="390"/>
      <c r="R32" s="390"/>
      <c r="S32" s="390"/>
      <c r="T32" s="390"/>
      <c r="U32" s="390"/>
      <c r="V32" s="390"/>
      <c r="W32" s="390"/>
    </row>
    <row r="33" spans="1:23">
      <c r="A33" s="390"/>
      <c r="B33" s="390"/>
      <c r="C33" s="390"/>
      <c r="D33" s="390"/>
      <c r="E33" s="390"/>
      <c r="F33" s="390"/>
      <c r="G33" s="390"/>
      <c r="H33" s="390"/>
      <c r="I33" s="390"/>
      <c r="J33" s="390"/>
      <c r="K33" s="395"/>
      <c r="L33" s="390"/>
      <c r="M33" s="390"/>
      <c r="N33" s="390"/>
      <c r="O33" s="390"/>
      <c r="P33" s="390"/>
      <c r="Q33" s="390"/>
      <c r="R33" s="390"/>
      <c r="S33" s="390"/>
      <c r="T33" s="390"/>
      <c r="U33" s="390"/>
      <c r="V33" s="390"/>
      <c r="W33" s="390"/>
    </row>
    <row r="34" spans="1:23">
      <c r="A34" s="390"/>
      <c r="B34" s="390"/>
      <c r="C34" s="390"/>
      <c r="D34" s="390"/>
      <c r="E34" s="390"/>
      <c r="F34" s="390"/>
      <c r="G34" s="390"/>
      <c r="H34" s="390"/>
      <c r="I34" s="390"/>
      <c r="J34" s="390"/>
      <c r="K34" s="395"/>
      <c r="L34" s="390"/>
      <c r="M34" s="390"/>
      <c r="N34" s="390"/>
      <c r="O34" s="390"/>
      <c r="P34" s="390"/>
      <c r="Q34" s="390"/>
      <c r="R34" s="390"/>
      <c r="S34" s="390"/>
      <c r="T34" s="390"/>
      <c r="U34" s="390"/>
      <c r="V34" s="390"/>
      <c r="W34" s="390"/>
    </row>
    <row r="35" spans="1:23">
      <c r="A35" s="390"/>
      <c r="B35" s="390"/>
      <c r="C35" s="390"/>
      <c r="D35" s="390"/>
      <c r="E35" s="390"/>
      <c r="F35" s="390"/>
      <c r="G35" s="390"/>
      <c r="H35" s="390"/>
      <c r="I35" s="390"/>
      <c r="J35" s="390"/>
      <c r="K35" s="395"/>
      <c r="L35" s="390"/>
      <c r="M35" s="390"/>
      <c r="N35" s="390"/>
      <c r="O35" s="390"/>
      <c r="P35" s="390"/>
      <c r="Q35" s="390"/>
      <c r="R35" s="390"/>
      <c r="S35" s="390"/>
      <c r="T35" s="390"/>
      <c r="U35" s="390"/>
      <c r="V35" s="390"/>
      <c r="W35" s="390"/>
    </row>
    <row r="36" spans="1:23">
      <c r="A36" s="390"/>
      <c r="B36" s="390"/>
      <c r="C36" s="390"/>
      <c r="D36" s="390"/>
      <c r="E36" s="390"/>
      <c r="F36" s="390"/>
      <c r="G36" s="390"/>
      <c r="H36" s="390"/>
      <c r="I36" s="390"/>
      <c r="J36" s="390"/>
      <c r="K36" s="395"/>
      <c r="L36" s="390"/>
      <c r="M36" s="390"/>
      <c r="N36" s="390"/>
      <c r="O36" s="390"/>
      <c r="P36" s="390"/>
      <c r="Q36" s="390"/>
      <c r="R36" s="390"/>
      <c r="S36" s="390"/>
      <c r="T36" s="390"/>
      <c r="U36" s="390"/>
      <c r="V36" s="390"/>
      <c r="W36" s="390"/>
    </row>
    <row r="37" spans="1:23">
      <c r="A37" s="390"/>
      <c r="B37" s="390"/>
      <c r="C37" s="390"/>
      <c r="D37" s="390"/>
      <c r="E37" s="390"/>
      <c r="F37" s="390"/>
      <c r="G37" s="390"/>
      <c r="H37" s="390"/>
      <c r="I37" s="390"/>
      <c r="J37" s="390"/>
      <c r="K37" s="395"/>
      <c r="L37" s="390"/>
      <c r="M37" s="390"/>
      <c r="N37" s="390"/>
      <c r="O37" s="390"/>
      <c r="P37" s="390"/>
      <c r="Q37" s="390"/>
      <c r="R37" s="390"/>
      <c r="S37" s="390"/>
      <c r="T37" s="390"/>
      <c r="U37" s="390"/>
      <c r="V37" s="390"/>
      <c r="W37" s="390"/>
    </row>
    <row r="38" spans="1:23" ht="135.75" customHeight="1">
      <c r="A38" s="390"/>
      <c r="B38" s="389" t="s">
        <v>482</v>
      </c>
      <c r="C38" s="390"/>
      <c r="D38" s="390"/>
      <c r="E38" s="390"/>
      <c r="F38" s="390"/>
      <c r="G38" s="390"/>
      <c r="H38" s="390"/>
      <c r="I38" s="390"/>
      <c r="J38" s="390"/>
      <c r="K38" s="395"/>
      <c r="L38" s="390"/>
      <c r="M38" s="390"/>
      <c r="N38" s="390"/>
      <c r="O38" s="390"/>
      <c r="P38" s="390"/>
      <c r="Q38" s="390"/>
      <c r="R38" s="390"/>
      <c r="S38" s="390"/>
      <c r="T38" s="390"/>
      <c r="U38" s="390"/>
      <c r="V38" s="390"/>
      <c r="W38" s="390"/>
    </row>
    <row r="39" spans="1:23" ht="129">
      <c r="A39" s="390"/>
      <c r="B39" s="395" t="s">
        <v>476</v>
      </c>
      <c r="C39" s="390"/>
      <c r="D39" s="390"/>
      <c r="E39" s="390"/>
      <c r="F39" s="390"/>
      <c r="G39" s="390"/>
      <c r="H39" s="390"/>
      <c r="I39" s="390"/>
      <c r="J39" s="390"/>
      <c r="K39" s="395"/>
      <c r="L39" s="390"/>
      <c r="M39" s="390"/>
      <c r="N39" s="390"/>
      <c r="O39" s="390"/>
      <c r="P39" s="390"/>
      <c r="Q39" s="390"/>
      <c r="R39" s="390"/>
      <c r="S39" s="390"/>
      <c r="T39" s="390"/>
      <c r="U39" s="390"/>
      <c r="V39" s="390"/>
      <c r="W39" s="390"/>
    </row>
    <row r="40" spans="1:23">
      <c r="A40" s="390"/>
      <c r="B40" s="390"/>
      <c r="C40" s="390"/>
      <c r="D40" s="390"/>
      <c r="E40" s="390"/>
      <c r="F40" s="390"/>
      <c r="G40" s="390"/>
      <c r="H40" s="390"/>
      <c r="I40" s="390"/>
      <c r="J40" s="390"/>
      <c r="K40" s="395"/>
      <c r="L40" s="390"/>
      <c r="M40" s="390"/>
      <c r="N40" s="390"/>
      <c r="O40" s="390"/>
      <c r="P40" s="390"/>
      <c r="Q40" s="390"/>
      <c r="R40" s="390"/>
      <c r="S40" s="390"/>
      <c r="T40" s="390"/>
      <c r="U40" s="390"/>
      <c r="V40" s="390"/>
      <c r="W40" s="390"/>
    </row>
    <row r="41" spans="1:23">
      <c r="A41" s="390"/>
      <c r="B41" s="390"/>
      <c r="C41" s="390"/>
      <c r="D41" s="390"/>
      <c r="E41" s="390"/>
      <c r="F41" s="390"/>
      <c r="G41" s="390"/>
      <c r="H41" s="390"/>
      <c r="I41" s="390"/>
      <c r="J41" s="390"/>
      <c r="K41" s="395"/>
      <c r="L41" s="390"/>
      <c r="M41" s="390"/>
      <c r="N41" s="390"/>
      <c r="O41" s="390"/>
      <c r="P41" s="390"/>
      <c r="Q41" s="390"/>
      <c r="R41" s="390"/>
      <c r="S41" s="390"/>
      <c r="T41" s="390"/>
      <c r="U41" s="390"/>
      <c r="V41" s="390"/>
      <c r="W41" s="390"/>
    </row>
    <row r="42" spans="1:23">
      <c r="B42" s="390"/>
      <c r="C42" s="390"/>
      <c r="D42" s="390"/>
      <c r="E42" s="390"/>
      <c r="F42" s="390"/>
      <c r="G42" s="390"/>
      <c r="H42" s="390"/>
      <c r="I42" s="390"/>
      <c r="J42" s="390"/>
      <c r="K42" s="395"/>
      <c r="L42" s="390"/>
      <c r="M42" s="390"/>
      <c r="N42" s="390"/>
      <c r="O42" s="390"/>
      <c r="P42" s="390"/>
      <c r="Q42" s="390"/>
      <c r="R42" s="390"/>
      <c r="S42" s="390"/>
      <c r="T42" s="390"/>
      <c r="U42" s="390"/>
      <c r="V42" s="390"/>
      <c r="W42" s="390"/>
    </row>
    <row r="43" spans="1:23">
      <c r="A43" s="390"/>
      <c r="C43" s="390"/>
      <c r="D43" s="390"/>
      <c r="E43" s="390"/>
      <c r="F43" s="390"/>
      <c r="G43" s="390"/>
      <c r="H43" s="390"/>
      <c r="I43" s="390"/>
      <c r="J43" s="390"/>
      <c r="K43" s="395"/>
      <c r="L43" s="390"/>
      <c r="M43" s="390"/>
      <c r="N43" s="390"/>
      <c r="O43" s="390"/>
      <c r="P43" s="390"/>
      <c r="Q43" s="390"/>
      <c r="R43" s="390"/>
      <c r="S43" s="390"/>
      <c r="T43" s="390"/>
      <c r="U43" s="390"/>
      <c r="V43" s="390"/>
      <c r="W43" s="390"/>
    </row>
    <row r="44" spans="1:23">
      <c r="A44" s="390"/>
      <c r="B44" s="390"/>
      <c r="C44" s="390"/>
      <c r="D44" s="390"/>
      <c r="E44" s="390"/>
      <c r="F44" s="390"/>
      <c r="G44" s="390"/>
      <c r="H44" s="390"/>
      <c r="I44" s="390"/>
      <c r="J44" s="390"/>
      <c r="K44" s="395"/>
      <c r="L44" s="390"/>
      <c r="M44" s="390"/>
      <c r="N44" s="390"/>
      <c r="O44" s="390"/>
      <c r="P44" s="390"/>
      <c r="Q44" s="390"/>
      <c r="R44" s="390"/>
      <c r="S44" s="390"/>
      <c r="T44" s="390"/>
      <c r="U44" s="390"/>
      <c r="V44" s="390"/>
      <c r="W44" s="390"/>
    </row>
    <row r="45" spans="1:23">
      <c r="C45" s="390"/>
      <c r="D45" s="390"/>
      <c r="E45" s="390"/>
      <c r="F45" s="390"/>
      <c r="G45" s="390"/>
      <c r="H45" s="390"/>
      <c r="I45" s="390"/>
      <c r="J45" s="390"/>
      <c r="K45" s="395"/>
      <c r="L45" s="390"/>
      <c r="M45" s="390"/>
      <c r="N45" s="390"/>
      <c r="O45" s="390"/>
      <c r="P45" s="390"/>
      <c r="Q45" s="390"/>
      <c r="R45" s="390"/>
      <c r="S45" s="390"/>
      <c r="T45" s="390"/>
      <c r="U45" s="390"/>
      <c r="V45" s="390"/>
      <c r="W45" s="390"/>
    </row>
    <row r="46" spans="1:23">
      <c r="C46" s="390"/>
      <c r="D46" s="390"/>
      <c r="E46" s="390"/>
      <c r="F46" s="390"/>
      <c r="G46" s="390"/>
      <c r="H46" s="390"/>
      <c r="I46" s="390"/>
      <c r="J46" s="390"/>
      <c r="K46" s="395"/>
      <c r="L46" s="390"/>
      <c r="M46" s="390"/>
      <c r="N46" s="390"/>
      <c r="O46" s="390"/>
      <c r="P46" s="390"/>
      <c r="Q46" s="390"/>
      <c r="R46" s="390"/>
      <c r="S46" s="390"/>
      <c r="T46" s="390"/>
      <c r="U46" s="390"/>
      <c r="V46" s="390"/>
      <c r="W46" s="390"/>
    </row>
  </sheetData>
  <mergeCells count="2">
    <mergeCell ref="K9:M9"/>
    <mergeCell ref="K12:M12"/>
  </mergeCells>
  <pageMargins left="0.70866141732283472" right="0.70866141732283472" top="0.78740157480314965" bottom="0.78740157480314965" header="0.31496062992125984" footer="0.31496062992125984"/>
  <pageSetup paperSize="9" orientation="portrait" horizont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6">
    <pageSetUpPr fitToPage="1"/>
  </sheetPr>
  <dimension ref="A1:V93"/>
  <sheetViews>
    <sheetView showGridLines="0" zoomScale="90" zoomScaleNormal="90" zoomScaleSheetLayoutView="55" zoomScalePageLayoutView="55" workbookViewId="0">
      <pane ySplit="19" topLeftCell="A64" activePane="bottomLeft" state="frozen"/>
      <selection pane="bottomLeft" activeCell="C17" sqref="C17"/>
    </sheetView>
  </sheetViews>
  <sheetFormatPr baseColWidth="10" defaultColWidth="12.5703125" defaultRowHeight="14.25"/>
  <cols>
    <col min="1" max="1" width="1.42578125" style="152" customWidth="1"/>
    <col min="2" max="2" width="3.42578125" style="152" customWidth="1"/>
    <col min="3" max="3" width="15.42578125" style="152" customWidth="1"/>
    <col min="4" max="4" width="9.140625" style="152" customWidth="1"/>
    <col min="5" max="5" width="31.42578125" style="152" customWidth="1"/>
    <col min="6" max="6" width="18.5703125" style="152" customWidth="1"/>
    <col min="7" max="7" width="31.5703125" style="152" customWidth="1"/>
    <col min="8" max="8" width="10.5703125" style="152" customWidth="1"/>
    <col min="9" max="9" width="18" style="187" bestFit="1" customWidth="1"/>
    <col min="10" max="10" width="18.140625" style="187" bestFit="1" customWidth="1"/>
    <col min="11" max="11" width="14.5703125" style="187" bestFit="1" customWidth="1"/>
    <col min="12" max="12" width="29.140625" style="161" customWidth="1"/>
    <col min="13" max="13" width="13.42578125" style="161" customWidth="1"/>
    <col min="14" max="14" width="14.28515625" style="161" customWidth="1"/>
    <col min="15" max="15" width="7" style="352" customWidth="1"/>
    <col min="16" max="16" width="4.7109375" style="152" hidden="1" customWidth="1"/>
    <col min="17" max="18" width="12.5703125" style="152" hidden="1" customWidth="1"/>
    <col min="19" max="19" width="15.5703125" style="152" customWidth="1"/>
    <col min="20" max="16384" width="12.5703125" style="152"/>
  </cols>
  <sheetData>
    <row r="1" spans="1:15">
      <c r="A1" s="177"/>
      <c r="O1" s="350"/>
    </row>
    <row r="2" spans="1:15">
      <c r="A2" s="177"/>
      <c r="O2" s="350"/>
    </row>
    <row r="3" spans="1:15">
      <c r="A3" s="177"/>
      <c r="O3" s="350"/>
    </row>
    <row r="4" spans="1:15">
      <c r="A4" s="177"/>
      <c r="O4" s="350"/>
    </row>
    <row r="5" spans="1:15">
      <c r="A5" s="177"/>
      <c r="O5" s="350"/>
    </row>
    <row r="6" spans="1:15">
      <c r="A6" s="177"/>
      <c r="E6" s="178">
        <f>date1</f>
        <v>0</v>
      </c>
      <c r="O6" s="350"/>
    </row>
    <row r="7" spans="1:15" ht="15">
      <c r="A7" s="177"/>
      <c r="D7" s="179" t="s">
        <v>293</v>
      </c>
      <c r="O7" s="350"/>
    </row>
    <row r="8" spans="1:15" ht="6" customHeight="1">
      <c r="A8" s="177"/>
      <c r="D8" s="179"/>
      <c r="O8" s="350"/>
    </row>
    <row r="9" spans="1:15">
      <c r="A9" s="177"/>
      <c r="D9" s="152" t="s">
        <v>294</v>
      </c>
      <c r="E9" s="152">
        <f>name1</f>
        <v>0</v>
      </c>
      <c r="O9" s="350"/>
    </row>
    <row r="10" spans="1:15" ht="3" customHeight="1">
      <c r="A10" s="177"/>
      <c r="O10" s="350"/>
    </row>
    <row r="11" spans="1:15" ht="15">
      <c r="A11" s="177"/>
      <c r="C11" s="179" t="s">
        <v>295</v>
      </c>
      <c r="O11" s="350"/>
    </row>
    <row r="12" spans="1:15" ht="15">
      <c r="A12" s="177"/>
      <c r="C12" s="162"/>
      <c r="D12" s="162"/>
      <c r="E12" s="163"/>
      <c r="F12" s="163"/>
      <c r="G12" s="163"/>
      <c r="H12" s="163"/>
      <c r="I12" s="188"/>
      <c r="J12" s="188"/>
      <c r="K12" s="188"/>
      <c r="L12" s="164"/>
      <c r="M12" s="164"/>
      <c r="N12" s="203"/>
      <c r="O12" s="350"/>
    </row>
    <row r="13" spans="1:15" ht="15">
      <c r="A13" s="177"/>
      <c r="C13" s="179" t="s">
        <v>296</v>
      </c>
      <c r="O13" s="350"/>
    </row>
    <row r="14" spans="1:15" ht="15">
      <c r="A14" s="177"/>
      <c r="C14" s="180" t="s">
        <v>5</v>
      </c>
      <c r="D14" s="180"/>
      <c r="E14" s="181">
        <f>from_1</f>
        <v>0</v>
      </c>
      <c r="G14" s="180"/>
      <c r="H14" s="182"/>
      <c r="O14" s="350"/>
    </row>
    <row r="15" spans="1:15" ht="15">
      <c r="A15" s="177"/>
      <c r="C15" s="180" t="s">
        <v>6</v>
      </c>
      <c r="D15" s="180"/>
      <c r="E15" s="181">
        <f>to_1</f>
        <v>0</v>
      </c>
      <c r="G15" s="179"/>
      <c r="H15" s="182"/>
      <c r="O15" s="350"/>
    </row>
    <row r="16" spans="1:15" ht="15">
      <c r="A16" s="177"/>
      <c r="G16" s="179"/>
      <c r="H16" s="182"/>
      <c r="O16" s="350"/>
    </row>
    <row r="17" spans="1:17" ht="17.100000000000001" customHeight="1">
      <c r="A17" s="177"/>
      <c r="C17" s="192" t="s">
        <v>297</v>
      </c>
      <c r="M17" s="346"/>
      <c r="O17" s="350"/>
    </row>
    <row r="18" spans="1:17" ht="6" customHeight="1">
      <c r="A18" s="177"/>
      <c r="C18" s="179"/>
      <c r="O18" s="350"/>
    </row>
    <row r="19" spans="1:17" ht="45">
      <c r="A19" s="183"/>
      <c r="B19" s="195" t="s">
        <v>11</v>
      </c>
      <c r="C19" s="561" t="s">
        <v>12</v>
      </c>
      <c r="D19" s="562"/>
      <c r="E19" s="196" t="s">
        <v>13</v>
      </c>
      <c r="F19" s="196" t="s">
        <v>298</v>
      </c>
      <c r="G19" s="197" t="s">
        <v>299</v>
      </c>
      <c r="H19" s="196" t="s">
        <v>300</v>
      </c>
      <c r="I19" s="198"/>
      <c r="J19" s="198" t="s">
        <v>301</v>
      </c>
      <c r="K19" s="195"/>
      <c r="L19" s="335" t="s">
        <v>302</v>
      </c>
      <c r="M19" s="336" t="s">
        <v>303</v>
      </c>
      <c r="N19" s="201" t="s">
        <v>17</v>
      </c>
      <c r="O19" s="350"/>
    </row>
    <row r="20" spans="1:17" ht="29.25" customHeight="1" thickBot="1">
      <c r="A20" s="177"/>
      <c r="B20" s="563">
        <v>1</v>
      </c>
      <c r="C20" s="565" t="s">
        <v>304</v>
      </c>
      <c r="D20" s="566"/>
      <c r="E20" s="569" t="str">
        <f>IF('3A_Milchprodukte'!I3=1,'3A_Milchprodukte'!D3,IF('3A_Milchprodukte'!I3=2,'3A_Milchprodukte'!D4,IF('3A_Milchprodukte'!I3=3,'3A_Milchprodukte'!D5,IF('3A_Milchprodukte'!I3=4,'3A_Milchprodukte'!D6,IF('3A_Milchprodukte'!I3=5,'3A_Milchprodukte'!D7,"")))))</f>
        <v>Keine Reduktion</v>
      </c>
      <c r="F20" s="199" t="s">
        <v>305</v>
      </c>
      <c r="G20" s="200" t="str">
        <f>LEFT(F20,2)-IF('3A_Milchprodukte'!I3=1,'3A_Milchprodukte'!E3,IF('3A_Milchprodukte'!I3=2,'3A_Milchprodukte'!E4,IF('3A_Milchprodukte'!I3=3,'3A_Milchprodukte'!E5,IF('3A_Milchprodukte'!I3=4,'3A_Milchprodukte'!E6,IF('3A_Milchprodukte'!I3=5,'3A_Milchprodukte'!E7,"")))))&amp;"ml pro Menu weniger"</f>
        <v>0ml pro Menu weniger</v>
      </c>
      <c r="H20" s="571">
        <f>IF('3A_Milchprodukte'!I3=1,'3A_Milchprodukte'!H7,IF('3A_Milchprodukte'!I3=2,'3A_Milchprodukte'!H7,IF('3A_Milchprodukte'!I3=3,'3A_Milchprodukte'!H7,IF('3A_Milchprodukte'!I3=4,'3A_Milchprodukte'!H7,IF('3A_Milchprodukte'!I3=5,'3A_Milchprodukte'!H7,"")))))</f>
        <v>0</v>
      </c>
      <c r="I20" s="249" t="s">
        <v>306</v>
      </c>
      <c r="J20" s="249" t="s">
        <v>307</v>
      </c>
      <c r="K20" s="250"/>
      <c r="L20" s="258" t="str">
        <f>IF(ISNA(I21)+ISNA(J21)=2,"",IF(SUM(I21:J21)=0,"",SUM(I21:J21) &amp; "l"))</f>
        <v/>
      </c>
      <c r="M20" s="255"/>
      <c r="N20" s="347" t="str">
        <f>IF(O20=1,"Nicht Gewählt", "Gewählt")</f>
        <v>Nicht Gewählt</v>
      </c>
      <c r="O20" s="379">
        <f>'3A_Milchprodukte'!I3</f>
        <v>1</v>
      </c>
      <c r="P20" s="152">
        <f>IFERROR(IF(VALUE(LEFT($L$20,SEARCH("l",$L$20)-1))&lt;=VALUE(LEFT($G$21,SEARCH("l",$G$21)-1)),1,0),0)</f>
        <v>0</v>
      </c>
      <c r="Q20" s="152" t="s">
        <v>308</v>
      </c>
    </row>
    <row r="21" spans="1:17" ht="23.25" customHeight="1" thickBot="1">
      <c r="A21" s="177"/>
      <c r="B21" s="564"/>
      <c r="C21" s="567"/>
      <c r="D21" s="568"/>
      <c r="E21" s="570"/>
      <c r="F21" s="251" t="str">
        <f>IFERROR(no_total_1*LEFT(F20,SEARCH("m",F20)-1)/1000&amp;"l","Fehlender Input")</f>
        <v>0l</v>
      </c>
      <c r="G21" s="252" t="str">
        <f>IFERROR(no_total_1*LEFT(F20,SEARCH("m",F20)-1)*IF('3A_Milchprodukte'!I3=1,1,(IF('3A_Milchprodukte'!I3=2,0.75,IF('3A_Milchprodukte'!I3=3,0.5,IF('3A_Milchprodukte'!I3=4,0.25,IF('3A_Milchprodukte'!I3=5,0,""))))))/1000&amp;"l","Fehlender Input")</f>
        <v>0l</v>
      </c>
      <c r="H21" s="572"/>
      <c r="I21" s="253"/>
      <c r="J21" s="253"/>
      <c r="K21" s="254"/>
      <c r="L21" s="255" t="str">
        <f>IFERROR(IF(VALUE(LEFT(L20,SEARCH("l",L20)-1))&lt;VALUE(LEFT(F21,SEARCH("l",F21)-1)),"Reduktion: "&amp;ROUND((1-(VALUE(LEFT(L20,SEARCH("l",L20)-1))/VALUE(LEFT(F21,SEARCH("l",F21)-1))))*100,2)&amp;"%",IF(VALUE(LEFT(L20,SEARCH("l",L20)-1))&gt;VALUE(LEFT(F21,SEARCH("l",F21)-1)),"Zunahme: "&amp;ROUND(((LEFT(L20,SEARCH("l",L20)-1)/LEFT(F21,SEARCH("l",F21)-1))-1)*100,2)&amp;"%","Keine Reduktion")),"Keine Veränderung")</f>
        <v>Keine Veränderung</v>
      </c>
      <c r="M21" s="255" t="str">
        <f>IF(ISERROR(IF(VALUE(LEFT($L20,SEARCH($Q20,$L20)-1))&gt;VALUE(LEFT($G21,SEARCH($Q20,$G21)-1)),"Nein","Ja")),"",IF(VALUE(LEFT($L20,SEARCH($Q20,$L20)-1))&gt;VALUE(LEFT($G21,SEARCH($Q20,$G21)-1)),"Nein","Ja"))</f>
        <v/>
      </c>
      <c r="N21" s="338" t="str">
        <f t="shared" ref="N21:N86" si="0">IF(O21=1,"Nicht Gewählt", "Gewählt")</f>
        <v>Nicht Gewählt</v>
      </c>
      <c r="O21" s="379">
        <f>'3A_Milchprodukte'!I3</f>
        <v>1</v>
      </c>
      <c r="P21" s="152">
        <f>IFERROR(IF(VALUE(LEFT($L$20,SEARCH("l",$L$20)-1))&lt;=VALUE(LEFT($G$21,SEARCH("l",$G$21)-1)),1,0),0)</f>
        <v>0</v>
      </c>
    </row>
    <row r="22" spans="1:17" ht="33" customHeight="1" thickBot="1">
      <c r="A22" s="177"/>
      <c r="B22" s="573">
        <v>2</v>
      </c>
      <c r="C22" s="574" t="s">
        <v>36</v>
      </c>
      <c r="D22" s="575"/>
      <c r="E22" s="578" t="str">
        <f>IF('3A_Milchprodukte'!I8=1,'3A_Milchprodukte'!D8,IF('3A_Milchprodukte'!I8=2,'3A_Milchprodukte'!D9,IF('3A_Milchprodukte'!I8=3,'3A_Milchprodukte'!D10,IF('3A_Milchprodukte'!I8=4,'3A_Milchprodukte'!D11,IF('3A_Milchprodukte'!I8=5,'3A_Milchprodukte'!D12,"")))))</f>
        <v>Keine Reduktion</v>
      </c>
      <c r="F22" s="165" t="s">
        <v>309</v>
      </c>
      <c r="G22" s="166" t="str">
        <f>LEFT(F22,1)-IF('3A_Milchprodukte'!I8=1,'3A_Milchprodukte'!E8,IF('3A_Milchprodukte'!I8=2,'3A_Milchprodukte'!E9,IF('3A_Milchprodukte'!I8=3,'3A_Milchprodukte'!E10,IF('3A_Milchprodukte'!I8=4,'3A_Milchprodukte'!E11,IF('3A_Milchprodukte'!I8=5,'3A_Milchprodukte'!E12,"")))))&amp;"ml pro Menü weniger"</f>
        <v>0ml pro Menü weniger</v>
      </c>
      <c r="H22" s="579">
        <f>IF('3A_Milchprodukte'!I8=1,'3A_Milchprodukte'!H12,IF('3A_Milchprodukte'!I8=2,'3A_Milchprodukte'!H12,IF('3A_Milchprodukte'!I8=3,'3A_Milchprodukte'!H12,IF('3A_Milchprodukte'!I8=4,'3A_Milchprodukte'!H12,IF('3A_Milchprodukte'!I8=5,'3A_Milchprodukte'!H12,"")))))</f>
        <v>0</v>
      </c>
      <c r="I22" s="256" t="s">
        <v>310</v>
      </c>
      <c r="J22" s="257"/>
      <c r="K22" s="257"/>
      <c r="L22" s="258" t="str">
        <f>IF(ISNA(I23)=1,"",IF(SUM(I23)=0,"",SUM(I23) &amp; "l"))</f>
        <v/>
      </c>
      <c r="M22" s="255"/>
      <c r="N22" s="339" t="str">
        <f t="shared" si="0"/>
        <v>Nicht Gewählt</v>
      </c>
      <c r="O22" s="379">
        <f>'3A_Milchprodukte'!I8</f>
        <v>1</v>
      </c>
      <c r="P22" s="152">
        <f>IFERROR(IF(VALUE(LEFT($L$22,SEARCH("l",$L$22)-1))&lt;=VALUE(LEFT($G$23,SEARCH("l",$G$23)-1)),1,0),0)</f>
        <v>0</v>
      </c>
      <c r="Q22" s="152" t="s">
        <v>308</v>
      </c>
    </row>
    <row r="23" spans="1:17" ht="15.75" thickBot="1">
      <c r="A23" s="177"/>
      <c r="B23" s="564"/>
      <c r="C23" s="576"/>
      <c r="D23" s="577"/>
      <c r="E23" s="570"/>
      <c r="F23" s="251" t="str">
        <f>no_total_1*LEFT(F22,SEARCH("m",F22)-1)/1000&amp;"l"</f>
        <v>0l</v>
      </c>
      <c r="G23" s="252" t="str">
        <f>no_total_1*LEFT(F22,SEARCH("m",F22)-1)*IF('3A_Milchprodukte'!I8=1,1,(IF('3A_Milchprodukte'!I8=2,0.75,IF('3A_Milchprodukte'!I8=3,0.5,IF('3A_Milchprodukte'!I8=4,0,IF('3A_Milchprodukte'!I8=5,0,""))))))/1000&amp;"l"</f>
        <v>0l</v>
      </c>
      <c r="H23" s="572"/>
      <c r="I23" s="253"/>
      <c r="J23" s="254"/>
      <c r="K23" s="259"/>
      <c r="L23" s="255" t="str">
        <f>IFERROR(IF(VALUE(LEFT(L22,SEARCH("l",L22)-1))&lt;VALUE(LEFT(F23,SEARCH("l",F23)-1)),"Reduktion: "&amp;ROUND((1-(VALUE(LEFT(L22,SEARCH("l",L22)-1))/VALUE(LEFT(F23,SEARCH("l",F23)-1))))*100,2)&amp;"%",IF(VALUE(LEFT(L22,SEARCH("l",L22)-1))&gt;VALUE(LEFT(F23,SEARCH("l",F23)-1)),"Zunahme: "&amp;ROUND(((LEFT(L22,SEARCH("l",L22)-1)/LEFT(F23,SEARCH("l",F23)-1))-1)*100,2)&amp;"%","Keine Reduktion")),"Keine Veränderung")</f>
        <v>Keine Veränderung</v>
      </c>
      <c r="M23" s="255" t="str">
        <f>IF(ISERROR(IF(VALUE(LEFT($L22,SEARCH($Q22,$L22)-1))&gt;VALUE(LEFT($G23,SEARCH($Q22,$G23)-1)),"Nein","Ja")),"",IF(VALUE(LEFT($L22,SEARCH($Q22,$L22)-1))&gt;VALUE(LEFT($G23,SEARCH($Q22,$G23)-1)),"Nein","Ja"))</f>
        <v/>
      </c>
      <c r="N23" s="338" t="str">
        <f t="shared" si="0"/>
        <v>Nicht Gewählt</v>
      </c>
      <c r="O23" s="379">
        <f>'3A_Milchprodukte'!I8</f>
        <v>1</v>
      </c>
      <c r="P23" s="152">
        <f>IFERROR(IF(VALUE(LEFT($L$22,SEARCH("l",$L$22)-1))&lt;=VALUE(LEFT($G$23,SEARCH("l",$G$23)-1)),1,0),0)</f>
        <v>0</v>
      </c>
    </row>
    <row r="24" spans="1:17" ht="30.75" customHeight="1" thickBot="1">
      <c r="A24" s="177"/>
      <c r="B24" s="573">
        <v>3</v>
      </c>
      <c r="C24" s="574" t="s">
        <v>43</v>
      </c>
      <c r="D24" s="575"/>
      <c r="E24" s="578" t="str">
        <f>IF('3A_Milchprodukte'!I13=1,'3A_Milchprodukte'!D13,IF('3A_Milchprodukte'!I13=2,'3A_Milchprodukte'!D14,IF('3A_Milchprodukte'!I13=3,'3A_Milchprodukte'!D15,IF('3A_Milchprodukte'!I13=4,'3A_Milchprodukte'!D16,IF('3A_Milchprodukte'!I13=5,'3A_Milchprodukte'!D17,"")))))</f>
        <v>Keine Reduktion</v>
      </c>
      <c r="F24" s="165" t="s">
        <v>311</v>
      </c>
      <c r="G24" s="166" t="str">
        <f>LEFT(F24,1)-IF('3A_Milchprodukte'!I13=1,'3A_Milchprodukte'!E13,IF('3A_Milchprodukte'!I13=2,'3A_Milchprodukte'!E14,IF('3A_Milchprodukte'!I13=3,'3A_Milchprodukte'!E15,IF('3A_Milchprodukte'!I13=4,'3A_Milchprodukte'!E16,IF('3A_Milchprodukte'!I13=5,'3A_Milchprodukte'!E17,"")))))&amp;"g pro Menü weniger"</f>
        <v>0g pro Menü weniger</v>
      </c>
      <c r="H24" s="580">
        <f>IF('3A_Milchprodukte'!I13=1,'3A_Milchprodukte'!H17,IF('3A_Milchprodukte'!I13=2,'3A_Milchprodukte'!H17,IF('3A_Milchprodukte'!I13=3,'3A_Milchprodukte'!H17,IF('3A_Milchprodukte'!I13=4,'3A_Milchprodukte'!H17,IF('3A_Milchprodukte'!I13=5,'3A_Milchprodukte'!H17,"")))))</f>
        <v>0</v>
      </c>
      <c r="I24" s="260" t="s">
        <v>312</v>
      </c>
      <c r="J24" s="261"/>
      <c r="K24" s="261"/>
      <c r="L24" s="258" t="str">
        <f>IF(ISNA(I25)=1,"",IF(SUM(I25)=0,"",SUM(I25) &amp; "kg"))</f>
        <v/>
      </c>
      <c r="M24" s="255"/>
      <c r="N24" s="338" t="str">
        <f t="shared" si="0"/>
        <v>Nicht Gewählt</v>
      </c>
      <c r="O24" s="379">
        <f>'3A_Milchprodukte'!I13</f>
        <v>1</v>
      </c>
      <c r="P24" s="152">
        <f>IFERROR(IF(VALUE(LEFT($L$24,SEARCH("kg",$L$24)-1))&lt;=VALUE(LEFT($G$25,SEARCH("kg",$G$25)-1)),1,0),0)</f>
        <v>0</v>
      </c>
      <c r="Q24" s="152" t="s">
        <v>313</v>
      </c>
    </row>
    <row r="25" spans="1:17" ht="15.75" thickBot="1">
      <c r="A25" s="177"/>
      <c r="B25" s="564"/>
      <c r="C25" s="576"/>
      <c r="D25" s="577"/>
      <c r="E25" s="570"/>
      <c r="F25" s="251" t="str">
        <f>no_total_1*LEFT(F24,SEARCH("g",F24)-1)/1000&amp;"kg"</f>
        <v>0kg</v>
      </c>
      <c r="G25" s="252" t="str">
        <f>no_total_1*LEFT(F24,SEARCH("g",F24)-1)*IF('3A_Milchprodukte'!I13=1,1,(IF('3A_Milchprodukte'!I13=2,0.75,IF('3A_Milchprodukte'!I13=3,0.5,IF('3A_Milchprodukte'!I13=4,0.25,IF('3A_Milchprodukte'!I13=5,0,""))))))/1000&amp;"kg"</f>
        <v>0kg</v>
      </c>
      <c r="H25" s="581"/>
      <c r="I25" s="262"/>
      <c r="J25" s="263"/>
      <c r="K25" s="263"/>
      <c r="L25" s="255" t="str">
        <f>IFERROR(IF(VALUE(LEFT(L24,SEARCH("kg",L24)-1))&lt;VALUE(LEFT(F25,SEARCH("kg",F25)-1)),"Reduktion: "&amp;ROUND((1-(VALUE(LEFT(L24,SEARCH("kg",L24)-1))/VALUE(LEFT(F25,SEARCH("kg",F25)-1))))*100,2)&amp;"%",IF(VALUE(LEFT(L24,SEARCH("kg",L24)-1))&gt;VALUE(LEFT(F25,SEARCH("kg",F25)-1)),"Zunahme: "&amp;ROUND(((LEFT(L24,SEARCH("kg",L24)-1)/LEFT(F25,SEARCH("kg",F25)-1))-1)*100,2)&amp;"%","Keine Reduktion")),"Keine Veränderung")</f>
        <v>Keine Veränderung</v>
      </c>
      <c r="M25" s="255" t="str">
        <f>IF(ISERROR(IF(VALUE(LEFT($L24,SEARCH($Q24,$L24)-1))&gt;VALUE(LEFT($G25,SEARCH($Q24,$G25)-1)),"Nein","Ja")),"",IF(VALUE(LEFT($L24,SEARCH($Q24,$L24)-1))&gt;VALUE(LEFT($G25,SEARCH($Q24,$G25)-1)),"Nein","Ja"))</f>
        <v/>
      </c>
      <c r="N25" s="338" t="str">
        <f t="shared" si="0"/>
        <v>Nicht Gewählt</v>
      </c>
      <c r="O25" s="379">
        <f>'3A_Milchprodukte'!I13</f>
        <v>1</v>
      </c>
      <c r="P25" s="152">
        <f>IFERROR(IF(VALUE(LEFT($L$24,SEARCH("kg",$L$24)-1))&lt;=VALUE(LEFT($G$25,SEARCH("kg",$G$25)-1)),1,0),0)</f>
        <v>0</v>
      </c>
    </row>
    <row r="26" spans="1:17" ht="31.5" customHeight="1" thickBot="1">
      <c r="A26" s="177"/>
      <c r="B26" s="573">
        <v>4</v>
      </c>
      <c r="C26" s="574" t="s">
        <v>49</v>
      </c>
      <c r="D26" s="575"/>
      <c r="E26" s="578" t="str">
        <f>IF('3A_Milchprodukte'!I18=1,'3A_Milchprodukte'!D18,IF('3A_Milchprodukte'!I18=2,'3A_Milchprodukte'!D19,IF('3A_Milchprodukte'!I18=3,'3A_Milchprodukte'!D20,IF('3A_Milchprodukte'!I18=4,'3A_Milchprodukte'!D21,IF('3A_Milchprodukte'!I18=5,'3A_Milchprodukte'!D22,"")))))</f>
        <v>Keine Reduktion</v>
      </c>
      <c r="F26" s="165" t="s">
        <v>314</v>
      </c>
      <c r="G26" s="166" t="str">
        <f>LEFT(F26,2)-IF('3A_Milchprodukte'!I18=1,'3A_Milchprodukte'!E18,IF('3A_Milchprodukte'!I18=2,'3A_Milchprodukte'!E19,IF('3A_Milchprodukte'!I18=3,'3A_Milchprodukte'!E20,IF('3A_Milchprodukte'!I18=4,'3A_Milchprodukte'!E21,IF('3A_Milchprodukte'!I18=5,'3A_Milchprodukte'!E22,"")))))&amp;"g pro Menu  weniger"</f>
        <v>0g pro Menu  weniger</v>
      </c>
      <c r="H26" s="580">
        <f>IF('3A_Milchprodukte'!I18=1,'3A_Milchprodukte'!H22,IF('3A_Milchprodukte'!I18=2,'3A_Milchprodukte'!H22,IF('3A_Milchprodukte'!I18=3,'3A_Milchprodukte'!H22,IF('3A_Milchprodukte'!I18=4,'3A_Milchprodukte'!H22,IF('3A_Milchprodukte'!I18=5,'3A_Milchprodukte'!H22,"")))))</f>
        <v>0</v>
      </c>
      <c r="I26" s="260" t="s">
        <v>315</v>
      </c>
      <c r="J26" s="261"/>
      <c r="K26" s="261"/>
      <c r="L26" s="258" t="str">
        <f>IF(ISNA(I27)=1,"",IF(SUM(I27)=0,"",SUM(I27) &amp; "kg"))</f>
        <v/>
      </c>
      <c r="M26" s="255"/>
      <c r="N26" s="338" t="str">
        <f t="shared" si="0"/>
        <v>Nicht Gewählt</v>
      </c>
      <c r="O26" s="379">
        <f>'3A_Milchprodukte'!I18</f>
        <v>1</v>
      </c>
      <c r="P26" s="152">
        <f>IFERROR(IF(VALUE(LEFT($L$26,SEARCH("kg",$L$26)-1))&lt;=VALUE(LEFT($G$27,SEARCH("kg",$G$27)-1)),1,0),0)</f>
        <v>0</v>
      </c>
      <c r="Q26" s="152" t="s">
        <v>313</v>
      </c>
    </row>
    <row r="27" spans="1:17" ht="15.75" thickBot="1">
      <c r="A27" s="177"/>
      <c r="B27" s="564"/>
      <c r="C27" s="576"/>
      <c r="D27" s="577"/>
      <c r="E27" s="570"/>
      <c r="F27" s="251" t="str">
        <f>no_total_1*LEFT(F26,SEARCH("g",F26)-1)/1000&amp;"kg"</f>
        <v>0kg</v>
      </c>
      <c r="G27" s="252" t="str">
        <f>no_total_1*LEFT(F26,SEARCH("g",F26)-1)*IF('3A_Milchprodukte'!I18=1,1,(IF('3A_Milchprodukte'!I18=2,0.75,IF('3A_Milchprodukte'!I18=3,0.5,IF('3A_Milchprodukte'!I18=4,0.25,IF('3A_Milchprodukte'!I18=5,0,""))))))/1000&amp;"kg"</f>
        <v>0kg</v>
      </c>
      <c r="H27" s="581"/>
      <c r="I27" s="262"/>
      <c r="J27" s="263"/>
      <c r="K27" s="263"/>
      <c r="L27" s="255" t="str">
        <f>IFERROR(IF(VALUE(LEFT(L26,SEARCH("kg",L26)-1))&lt;VALUE(LEFT(F27,SEARCH("kg",F27)-1)),"Reduktion: "&amp;ROUND((1-(VALUE(LEFT(L26,SEARCH("kg",L26)-1))/VALUE(LEFT(F27,SEARCH("kg",F27)-1))))*100,2)&amp;"%",IF(VALUE(LEFT(L26,SEARCH("kg",L26)-1))&gt;VALUE(LEFT(F27,SEARCH("kg",F27)-1)),"Zunahme: "&amp;ROUND(((LEFT(L26,SEARCH("kg",L26)-1)/LEFT(F27,SEARCH("kg",F27)-1))-1)*100,2)&amp;"%","Keine Reduktion")),"Keine Veränderung")</f>
        <v>Keine Veränderung</v>
      </c>
      <c r="M27" s="255" t="str">
        <f>IF(ISERROR(IF(VALUE(LEFT($L26,SEARCH($Q26,$L26)-1))&gt;VALUE(LEFT($G27,SEARCH($Q26,$G27)-1)),"Nein","Ja")),"",IF(VALUE(LEFT($L26,SEARCH($Q26,$L26)-1))&gt;VALUE(LEFT($G27,SEARCH($Q26,$G27)-1)),"Nein","Ja"))</f>
        <v/>
      </c>
      <c r="N27" s="338" t="str">
        <f t="shared" si="0"/>
        <v>Nicht Gewählt</v>
      </c>
      <c r="O27" s="379">
        <f>'3A_Milchprodukte'!I18</f>
        <v>1</v>
      </c>
      <c r="P27" s="152">
        <f>IFERROR(IF(VALUE(LEFT($L$26,SEARCH("kg",$L$26)-1))&lt;=VALUE(LEFT($G$27,SEARCH("kg",$G$27)-1)),1,0),0)</f>
        <v>0</v>
      </c>
    </row>
    <row r="28" spans="1:17" ht="32.25" customHeight="1" thickBot="1">
      <c r="A28" s="177"/>
      <c r="B28" s="573">
        <v>5</v>
      </c>
      <c r="C28" s="574" t="s">
        <v>56</v>
      </c>
      <c r="D28" s="575"/>
      <c r="E28" s="578" t="str">
        <f>IF('3A_Milchprodukte'!I23=1,'3A_Milchprodukte'!D23,IF('3A_Milchprodukte'!I23=2,'3A_Milchprodukte'!D24,IF('3A_Milchprodukte'!I23=3,'3A_Milchprodukte'!D25,IF('3A_Milchprodukte'!I23=4,'3A_Milchprodukte'!D26,IF('3A_Milchprodukte'!I23=5,'3A_Milchprodukte'!D27,"")))))</f>
        <v>Keine Reduktion</v>
      </c>
      <c r="F28" s="165" t="s">
        <v>316</v>
      </c>
      <c r="G28" s="166" t="str">
        <f>LEFT(F28,1)-IF('3A_Milchprodukte'!I23=1,'3A_Milchprodukte'!E23,IF('3A_Milchprodukte'!I23=2,'3A_Milchprodukte'!E24,IF('3A_Milchprodukte'!I23=3,'3A_Milchprodukte'!E25,IF('3A_Milchprodukte'!I23=4,'3A_Milchprodukte'!E26,IF('3A_Milchprodukte'!I23=5,'3A_Milchprodukte'!E27,"")))))&amp;"g pro Menu weniger"</f>
        <v>0g pro Menu weniger</v>
      </c>
      <c r="H28" s="580">
        <f>IF('3A_Milchprodukte'!I23=1,'3A_Milchprodukte'!H27,IF('3A_Milchprodukte'!I23=2,'3A_Milchprodukte'!H27,IF('3A_Milchprodukte'!I23=3,'3A_Milchprodukte'!H27,IF('3A_Milchprodukte'!I23=4,'3A_Milchprodukte'!H27,IF('3A_Milchprodukte'!I23=5,'3A_Milchprodukte'!H27,"")))))</f>
        <v>0</v>
      </c>
      <c r="I28" s="260" t="s">
        <v>317</v>
      </c>
      <c r="J28" s="261"/>
      <c r="K28" s="261"/>
      <c r="L28" s="258" t="str">
        <f>IF(ISNA(I29)=1,"",IF(SUM(I29)=0,"",SUM(I29) &amp; "kg"))</f>
        <v/>
      </c>
      <c r="M28" s="255"/>
      <c r="N28" s="339" t="str">
        <f t="shared" si="0"/>
        <v>Nicht Gewählt</v>
      </c>
      <c r="O28" s="379">
        <f>'3A_Milchprodukte'!I23</f>
        <v>1</v>
      </c>
      <c r="P28" s="152">
        <f>IFERROR(IF(VALUE(LEFT($L$28,SEARCH("kg",$L$28)-1))&lt;=VALUE(LEFT($G$29,SEARCH("kg",$G$29)-1)),1,0),0)</f>
        <v>0</v>
      </c>
      <c r="Q28" s="152" t="s">
        <v>313</v>
      </c>
    </row>
    <row r="29" spans="1:17" ht="15.75" thickBot="1">
      <c r="A29" s="177"/>
      <c r="B29" s="564"/>
      <c r="C29" s="576"/>
      <c r="D29" s="577"/>
      <c r="E29" s="570"/>
      <c r="F29" s="251" t="str">
        <f>no_total_1*LEFT(F28,SEARCH("g",F28)-1)/1000&amp;"kg"</f>
        <v>0kg</v>
      </c>
      <c r="G29" s="252" t="str">
        <f>((no_total_1*LEFT(F28,SEARCH("g",F28)-1))-(no_total_1*LEFT(F28,SEARCH("g",F28)-1)*IF('3A_Milchprodukte'!I23=1,0,(IF('3A_Milchprodukte'!I23=2,0.3,IF('3A_Milchprodukte'!I23=3,0.75,IF('3A_Milchprodukte'!I23=4,0.75,IF('3A_Milchprodukte'!I23=5,1,""))))))))/1000&amp;"kg"</f>
        <v>0kg</v>
      </c>
      <c r="H29" s="581"/>
      <c r="I29" s="262"/>
      <c r="J29" s="263"/>
      <c r="K29" s="263"/>
      <c r="L29" s="255" t="str">
        <f>IFERROR(IF(VALUE(LEFT(L28,SEARCH("kg",L28)-1))&lt;VALUE(LEFT(F29,SEARCH("kg",F29)-1)),"Reduktion: "&amp;ROUND((1-(VALUE(LEFT(L28,SEARCH("kg",L28)-1))/VALUE(LEFT(F29,SEARCH("kg",F29)-1))))*100,2)&amp;"%",IF(VALUE(LEFT(L28,SEARCH("kg",L28)-1))&gt;VALUE(LEFT(F29,SEARCH("kg",F29)-1)),"Zunahme: "&amp;ROUND(((LEFT(L28,SEARCH("kg",L28)-1)/LEFT(F29,SEARCH("kg",F29)-1))-1)*100,2)&amp;"%","Keine Reduktion")),"Keine Veränderung")</f>
        <v>Keine Veränderung</v>
      </c>
      <c r="M29" s="255" t="str">
        <f>IF(ISERROR(IF(VALUE(LEFT($L28,SEARCH($Q28,$L28)-1))&gt;VALUE(LEFT($G29,SEARCH($Q28,$G29)-1)),"Nein","Ja")),"",IF(VALUE(LEFT($L28,SEARCH($Q28,$L28)-1))&gt;VALUE(LEFT($G29,SEARCH($Q28,$G29)-1)),"Nein","Ja"))</f>
        <v/>
      </c>
      <c r="N29" s="338" t="str">
        <f t="shared" si="0"/>
        <v>Nicht Gewählt</v>
      </c>
      <c r="O29" s="379">
        <f>'3A_Milchprodukte'!I23</f>
        <v>1</v>
      </c>
      <c r="P29" s="152">
        <f>IFERROR(IF(VALUE(LEFT($L$28,SEARCH("kg",$L$28)-1))&lt;=VALUE(LEFT($G$29,SEARCH("kg",$G$29)-1)),1,0),0)</f>
        <v>0</v>
      </c>
    </row>
    <row r="30" spans="1:17" ht="28.5" customHeight="1">
      <c r="A30" s="177"/>
      <c r="B30" s="573">
        <v>6</v>
      </c>
      <c r="C30" s="582" t="s">
        <v>64</v>
      </c>
      <c r="D30" s="583"/>
      <c r="E30" s="578" t="str">
        <f>IF('3A_Milchprodukte'!I28=1,'3A_Milchprodukte'!D28,IF('3A_Milchprodukte'!I28=2,'3A_Milchprodukte'!D29,IF('3A_Milchprodukte'!I28=3,'3A_Milchprodukte'!D30,IF('3A_Milchprodukte'!I28=4,'3A_Milchprodukte'!D31,IF('3A_Milchprodukte'!I28=5,'3A_Milchprodukte'!D32,"")))))</f>
        <v>Keine Reduktion</v>
      </c>
      <c r="F30" s="165" t="s">
        <v>318</v>
      </c>
      <c r="G30" s="166" t="str">
        <f>LEFT(F30,3)-IF('3A_Milchprodukte'!I28=1,'3A_Milchprodukte'!E28,IF('3A_Milchprodukte'!I28=2,'3A_Milchprodukte'!E29,IF('3A_Milchprodukte'!I28=3,'3A_Milchprodukte'!E30,IF('3A_Milchprodukte'!I28=4,'3A_Milchprodukte'!E31,IF('3A_Milchprodukte'!I28=5,'3A_Milchprodukte'!E32,"")))))&amp;"g pro Menu weniger"</f>
        <v>0g pro Menu weniger</v>
      </c>
      <c r="H30" s="580">
        <f>IF('3A_Milchprodukte'!I28=1,'3A_Milchprodukte'!H32,IF('3A_Milchprodukte'!I28=2,'3A_Milchprodukte'!H32,IF('3A_Milchprodukte'!I28=3,'3A_Milchprodukte'!H32,IF('3A_Milchprodukte'!I28=4,'3A_Milchprodukte'!H32,IF('3A_Milchprodukte'!I28=5,'3A_Milchprodukte'!H32,"")))))</f>
        <v>0</v>
      </c>
      <c r="I30" s="545" t="s">
        <v>319</v>
      </c>
      <c r="J30" s="261" t="s">
        <v>320</v>
      </c>
      <c r="K30" s="261"/>
      <c r="L30" s="258" t="str">
        <f>IF(ISNA(Tot_Milch_18)=1,"",IF(SUM(Tot_Milch_18)=0,"",SUM(Tot_Milch_18) &amp; "kg"))</f>
        <v/>
      </c>
      <c r="M30" s="255"/>
      <c r="N30" s="339" t="str">
        <f t="shared" si="0"/>
        <v>Nicht Gewählt</v>
      </c>
      <c r="O30" s="379">
        <f>'3A_Milchprodukte'!I28</f>
        <v>1</v>
      </c>
      <c r="P30" s="152">
        <f>IFERROR(IF(VALUE(LEFT($L$30,SEARCH("kg",$L$30)-1))&lt;=VALUE(LEFT($G$31,SEARCH("kg",$G$31)-1)),1,0),0)</f>
        <v>0</v>
      </c>
      <c r="Q30" s="152" t="s">
        <v>313</v>
      </c>
    </row>
    <row r="31" spans="1:17" ht="15">
      <c r="A31" s="177"/>
      <c r="B31" s="564"/>
      <c r="C31" s="567"/>
      <c r="D31" s="568"/>
      <c r="E31" s="570"/>
      <c r="F31" s="251" t="str">
        <f>no_total_1*LEFT(F30,SEARCH("g",F30)-1)/1000&amp;"kg"</f>
        <v>0kg</v>
      </c>
      <c r="G31" s="252" t="str">
        <f>no_total_1*LEFT(F30,SEARCH("g",F30)-1)*IF('3A_Milchprodukte'!I28=1,1,(IF('3A_Milchprodukte'!I28=2,0.8,IF('3A_Milchprodukte'!I28=3,0.64,IF('3A_Milchprodukte'!I28=4,0.48,IF('3A_Milchprodukte'!I28=5,0.336,""))))))/1000&amp;"kg"</f>
        <v>0kg</v>
      </c>
      <c r="H31" s="581"/>
      <c r="I31" s="546"/>
      <c r="J31" s="263"/>
      <c r="K31" s="263"/>
      <c r="L31" s="255" t="str">
        <f>IFERROR(IF(VALUE(LEFT(L30,SEARCH("kg",L30)-1))&lt;VALUE(LEFT(F31,SEARCH("kg",F31)-1)),"Reduktion: "&amp;ROUND((1-(VALUE(LEFT(L30,SEARCH("kg",L30)-1))/VALUE(LEFT(F31,SEARCH("kg",F31)-1))))*100,2)&amp;"%",IF(VALUE(LEFT(L30,SEARCH("kg",L30)-1))&gt;VALUE(LEFT(F31,SEARCH("kg",F31)-1)),"Zunahme: "&amp;ROUND(((LEFT(L30,SEARCH("kg",L30)-1)/LEFT(F31,SEARCH("kg",F31)-1))-1)*100,2)&amp;"%","Keine Reduktion")),"Keine Veränderung")</f>
        <v>Keine Veränderung</v>
      </c>
      <c r="M31" s="255" t="str">
        <f>IF(ISERROR(IF(VALUE(LEFT($L30,SEARCH($Q30,$L30)-1))&gt;VALUE(LEFT($G31,SEARCH($Q30,$G31)-1)),"Nein","Ja")),"",IF(VALUE(LEFT($L30,SEARCH($Q30,$L30)-1))&gt;VALUE(LEFT($G31,SEARCH($Q30,$G31)-1)),"Nein","Ja"))</f>
        <v/>
      </c>
      <c r="N31" s="338" t="str">
        <f t="shared" si="0"/>
        <v>Nicht Gewählt</v>
      </c>
      <c r="O31" s="379">
        <f>'3A_Milchprodukte'!I28</f>
        <v>1</v>
      </c>
      <c r="P31" s="152">
        <f>IFERROR(IF(VALUE(LEFT($L$30,SEARCH("kg",$L$30)-1))&lt;=VALUE(LEFT($G$31,SEARCH("kg",$G$31)-1)),1,0),0)</f>
        <v>0</v>
      </c>
    </row>
    <row r="32" spans="1:17" ht="41.25" customHeight="1" thickBot="1">
      <c r="A32" s="177"/>
      <c r="B32" s="573">
        <v>7</v>
      </c>
      <c r="C32" s="574" t="s">
        <v>79</v>
      </c>
      <c r="D32" s="575"/>
      <c r="E32" s="578" t="str">
        <f>IF('3B_Fleisch'!J3=1,'3B_Fleisch'!D3,(IF('3B_Fleisch'!J3=2,'3B_Fleisch'!D4,IF('3B_Fleisch'!J3=3,'3B_Fleisch'!D5,IF('3B_Fleisch'!J3=4,'3B_Fleisch'!D6,IF('3B_Fleisch'!J3=5,'3B_Fleisch'!D7,""))))))</f>
        <v>Keine Reduktion</v>
      </c>
      <c r="F32" s="165" t="s">
        <v>321</v>
      </c>
      <c r="G32" s="166" t="str">
        <f>LEFT(F32,4)-IF('3B_Fleisch'!J3=1,'3B_Fleisch'!E3,(IF('3B_Fleisch'!J3=2,'3B_Fleisch'!E4,IF('3B_Fleisch'!J3=3,'3B_Fleisch'!E5,IF('3B_Fleisch'!J3=4,'3B_Fleisch'!E6,IF('3B_Fleisch'!J3=5,'3B_Fleisch'!E7,""))))))&amp;"g pro Menu weniger"</f>
        <v>0g pro Menu weniger</v>
      </c>
      <c r="H32" s="579">
        <f>IF('3B_Fleisch'!J3=1,'3B_Fleisch'!H7,(IF('3B_Fleisch'!J3=2,'3B_Fleisch'!H7,IF('3B_Fleisch'!J3=3,'3B_Fleisch'!H7,IF('3B_Fleisch'!J3=4,'3B_Fleisch'!H7,IF('3B_Fleisch'!J3=5,'3B_Fleisch'!H7,""))))))</f>
        <v>0</v>
      </c>
      <c r="I32" s="256" t="s">
        <v>322</v>
      </c>
      <c r="J32" s="256" t="s">
        <v>323</v>
      </c>
      <c r="K32" s="257"/>
      <c r="L32" s="258" t="str">
        <f>IF(ISNA(I33)+ISNA(J33)=2,"",IF(SUM(I33:J33)=0,"",SUM(I33:J33) &amp; "kg"))</f>
        <v/>
      </c>
      <c r="M32" s="255"/>
      <c r="N32" s="339" t="str">
        <f t="shared" si="0"/>
        <v>Nicht Gewählt</v>
      </c>
      <c r="O32" s="379">
        <f>'3B_Fleisch'!J3</f>
        <v>1</v>
      </c>
      <c r="P32" s="152">
        <f>IFERROR(IF(VALUE(LEFT($L$32,SEARCH("kg",$L$32)-1))&lt;=VALUE(LEFT($G$33,SEARCH("kg",$G$33)-1)),1,0),0)</f>
        <v>0</v>
      </c>
      <c r="Q32" s="152" t="s">
        <v>313</v>
      </c>
    </row>
    <row r="33" spans="1:18" ht="15.75" thickBot="1">
      <c r="A33" s="177"/>
      <c r="B33" s="564"/>
      <c r="C33" s="576"/>
      <c r="D33" s="577"/>
      <c r="E33" s="570"/>
      <c r="F33" s="251" t="str">
        <f>no_total_1*LEFT(F32,SEARCH("g",F32)-1)/1000&amp;"kg"</f>
        <v>0kg</v>
      </c>
      <c r="G33" s="252" t="str">
        <f>no_total_1*LEFT(F32,SEARCH("g",F32)-1)*IF('3B_Fleisch'!J3=1,1,(IF('3B_Fleisch'!J3=2,0.75,IF('3B_Fleisch'!J3=3,0.5,IF('3B_Fleisch'!J3=4,0.2,IF('3B_Fleisch'!J3=5,0,""))))))/1000&amp;"kg"</f>
        <v>0kg</v>
      </c>
      <c r="H33" s="572"/>
      <c r="I33" s="253"/>
      <c r="J33" s="253"/>
      <c r="K33" s="254"/>
      <c r="L33" s="255" t="str">
        <f>IFERROR(IF(VALUE(LEFT(L32,SEARCH("kg",L32)-1))&lt;VALUE(LEFT(F33,SEARCH("kg",F33)-1)),"Reduktion: "&amp;ROUND((1-(VALUE(LEFT(L32,SEARCH("kg",L32)-1))/VALUE(LEFT(F33,SEARCH("kg",F33)-1))))*100,2)&amp;"%",IF(VALUE(LEFT(L32,SEARCH("kg",L32)-1))&gt;VALUE(LEFT(F33,SEARCH("kg",F33)-1)),"Zunahme: "&amp;ROUND(((LEFT(L32,SEARCH("kg",L32)-1)/LEFT(F33,SEARCH("kg",F33)-1))-1)*100,2)&amp;"%","Keine Reduktion")),"Keine Veränderung")</f>
        <v>Keine Veränderung</v>
      </c>
      <c r="M33" s="255" t="str">
        <f>IF(ISERROR(IF(VALUE(LEFT($L32,SEARCH($Q32,$L32)-1))&gt;VALUE(LEFT($G33,SEARCH($Q32,$G33)-1)),"Nein","Ja")),"",IF(VALUE(LEFT($L32,SEARCH($Q32,$L32)-1))&gt;VALUE(LEFT($G33,SEARCH($Q32,$G33)-1)),"Nein","Ja"))</f>
        <v/>
      </c>
      <c r="N33" s="338" t="str">
        <f t="shared" si="0"/>
        <v>Nicht Gewählt</v>
      </c>
      <c r="O33" s="379">
        <f>'3B_Fleisch'!J3</f>
        <v>1</v>
      </c>
      <c r="P33" s="152">
        <f>IFERROR(IF(VALUE(LEFT($L$32,SEARCH("kg",$L$32)-1))&lt;=VALUE(LEFT($G$33,SEARCH("kg",$G$33)-1)),1,0),0)</f>
        <v>0</v>
      </c>
    </row>
    <row r="34" spans="1:18" ht="23.25" customHeight="1" thickBot="1">
      <c r="A34" s="177"/>
      <c r="B34" s="573">
        <v>8</v>
      </c>
      <c r="C34" s="587" t="s">
        <v>442</v>
      </c>
      <c r="D34" s="588"/>
      <c r="E34" s="578" t="str">
        <f>IF('3B_Fleisch'!J8=1,'3B_Fleisch'!D8,(IF('3B_Fleisch'!J8=2,'3B_Fleisch'!D9,IF('3B_Fleisch'!J8=3,'3B_Fleisch'!D10,IF('3B_Fleisch'!J8=4,'3B_Fleisch'!D11,IF('3B_Fleisch'!J8=5,'3B_Fleisch'!D12,""))))))</f>
        <v>Keine Reduktion</v>
      </c>
      <c r="F34" s="167" t="str">
        <f>"10.1g pro Menu"</f>
        <v>10.1g pro Menu</v>
      </c>
      <c r="G34" s="168" t="str">
        <f>LEFT(F34,4)-IF('3B_Fleisch'!J8=1,'3B_Fleisch'!E8,(IF('3B_Fleisch'!J8=2,'3B_Fleisch'!E9,IF('3B_Fleisch'!J8=3,'3B_Fleisch'!E10,IF('3B_Fleisch'!J8=4,'3B_Fleisch'!E11,IF('3B_Fleisch'!J8=5,'3B_Fleisch'!E12,""))))))&amp;"g pro Menu weniger"</f>
        <v>0g pro Menu weniger</v>
      </c>
      <c r="H34" s="579">
        <f>IF('3B_Fleisch'!J8=1,'3B_Fleisch'!H12,(IF('3B_Fleisch'!J8=2,'3B_Fleisch'!H12,IF('3B_Fleisch'!J8=3,'3B_Fleisch'!H12,IF('3B_Fleisch'!J8=4,'3B_Fleisch'!H12,IF('3B_Fleisch'!J8=5,'3B_Fleisch'!H12,""))))))</f>
        <v>0</v>
      </c>
      <c r="I34" s="256" t="s">
        <v>322</v>
      </c>
      <c r="J34" s="256" t="s">
        <v>323</v>
      </c>
      <c r="K34" s="257"/>
      <c r="L34" s="258" t="str">
        <f>IF(ISNA(I35)+ISNA(J35)=2,"",IF(SUM(I35:J35)=0,"",SUM(I35:J35) &amp; "kg"))</f>
        <v/>
      </c>
      <c r="M34" s="255"/>
      <c r="N34" s="339" t="str">
        <f t="shared" si="0"/>
        <v>Nicht Gewählt</v>
      </c>
      <c r="O34" s="379">
        <f>'3B_Fleisch'!J8</f>
        <v>1</v>
      </c>
      <c r="P34" s="152">
        <f>IFERROR(IF(VALUE(LEFT($L$34,SEARCH("kg",$L$34)-1))&lt;=VALUE(LEFT($G$35,SEARCH("kg",$G$35)-1)),1,0),0)</f>
        <v>0</v>
      </c>
      <c r="Q34" s="152" t="s">
        <v>313</v>
      </c>
    </row>
    <row r="35" spans="1:18" ht="23.25" customHeight="1" thickBot="1">
      <c r="A35" s="177"/>
      <c r="B35" s="564"/>
      <c r="C35" s="567"/>
      <c r="D35" s="568"/>
      <c r="E35" s="570"/>
      <c r="F35" s="251" t="str">
        <f>no_total_1*LEFT(F34,SEARCH("g",F34)-1)/1000&amp;"kg"</f>
        <v>0kg</v>
      </c>
      <c r="G35" s="264" t="str">
        <f>no_total_1*LEFT(F34,SEARCH("g",F34)-1)*IF('3B_Fleisch'!J8=1,1,(IF('3B_Fleisch'!J8=2,0.75,IF('3B_Fleisch'!J8=3,0.5,IF('3B_Fleisch'!J8=4,0.2,IF('3B_Fleisch'!J8=5,0,""))))))/1000&amp;"kg"</f>
        <v>0kg</v>
      </c>
      <c r="H35" s="572"/>
      <c r="I35" s="253"/>
      <c r="J35" s="253"/>
      <c r="K35" s="254"/>
      <c r="L35" s="255" t="str">
        <f>IFERROR(IF(VALUE(LEFT(L34,SEARCH("kg",L34)-1))&lt;VALUE(LEFT(F35,SEARCH("kg",F35)-1)),"Reduktion: "&amp;ROUND((1-(VALUE(LEFT(L34,SEARCH("kg",L34)-1))/VALUE(LEFT(F35,SEARCH("kg",F35)-1))))*100,2)&amp;"%",IF(VALUE(LEFT(L34,SEARCH("kg",L34)-1))&gt;VALUE(LEFT(F35,SEARCH("kg",F35)-1)),"Zunahme: "&amp;ROUND(((LEFT(L34,SEARCH("kg",L34)-1)/LEFT(F35,SEARCH("kg",F35)-1))-1)*100,2)&amp;"%","Keine Reduktion")),"Keine Veränderung")</f>
        <v>Keine Veränderung</v>
      </c>
      <c r="M35" s="255" t="str">
        <f>IF(ISERROR(IF(VALUE(LEFT($L34,SEARCH($Q34,$L34)-1))&gt;VALUE(LEFT($G35,SEARCH($Q34,$G35)-1)),"Nein","Ja")),"",IF(VALUE(LEFT($L34,SEARCH($Q34,$L34)-1))&gt;VALUE(LEFT($G35,SEARCH($Q34,$G35)-1)),"Nein","Ja"))</f>
        <v/>
      </c>
      <c r="N35" s="338" t="str">
        <f t="shared" si="0"/>
        <v>Nicht Gewählt</v>
      </c>
      <c r="O35" s="379">
        <f>'3B_Fleisch'!J8</f>
        <v>1</v>
      </c>
      <c r="P35" s="152">
        <f>IFERROR(IF(VALUE(LEFT($L$34,SEARCH("kg",$L$34)-1))&lt;=VALUE(LEFT($G$35,SEARCH("kg",$G$35)-1)),1,0),0)</f>
        <v>0</v>
      </c>
    </row>
    <row r="36" spans="1:18" ht="36.6" customHeight="1" thickBot="1">
      <c r="A36" s="177"/>
      <c r="B36" s="573">
        <v>9</v>
      </c>
      <c r="C36" s="582" t="s">
        <v>90</v>
      </c>
      <c r="D36" s="583"/>
      <c r="E36" s="584" t="str">
        <f>IF('3B_Fleisch'!J13=1,'3B_Fleisch'!D13,(IF('3B_Fleisch'!J13=2,'3B_Fleisch'!D14,IF('3B_Fleisch'!J13=3,'3B_Fleisch'!D15,IF('3B_Fleisch'!J13=4,'3B_Fleisch'!D16,IF('3B_Fleisch'!J13=5,'3B_Fleisch'!D17,""))))))</f>
        <v>Keine Reduktion</v>
      </c>
      <c r="F36" s="165" t="s">
        <v>324</v>
      </c>
      <c r="G36" s="166" t="str">
        <f>LEFT(F36,4)-IF('3B_Fleisch'!J13=1,'3B_Fleisch'!E13,(IF('3B_Fleisch'!J13=2,'3B_Fleisch'!E14,IF('3B_Fleisch'!J13=3,'3B_Fleisch'!E15,IF('3B_Fleisch'!J13=4,'3B_Fleisch'!E16,IF('3B_Fleisch'!J13=5,'3B_Fleisch'!E17,""))))))&amp;"g pro Menu weniger"</f>
        <v>0g pro Menu weniger</v>
      </c>
      <c r="H36" s="585">
        <f>IF('3B_Fleisch'!J13=1,'3B_Fleisch'!H17,(IF('3B_Fleisch'!J13=2,'3B_Fleisch'!H17,IF('3B_Fleisch'!J13=3,'3B_Fleisch'!H17,IF('3B_Fleisch'!J13=4,'3B_Fleisch'!H17,IF('3B_Fleisch'!J13=5,'3B_Fleisch'!H17,""))))))</f>
        <v>0</v>
      </c>
      <c r="I36" s="265" t="s">
        <v>322</v>
      </c>
      <c r="J36" s="265" t="s">
        <v>323</v>
      </c>
      <c r="K36" s="266" t="s">
        <v>325</v>
      </c>
      <c r="L36" s="258" t="str">
        <f>IF(ISNA(I37)+ISNA(J37)+ISNA(K37)=3,"",IF(SUM(I37:K37)=0,"",SUM(I37:K37) &amp; "kg"))</f>
        <v/>
      </c>
      <c r="M36" s="255"/>
      <c r="N36" s="339" t="str">
        <f t="shared" si="0"/>
        <v>Nicht Gewählt</v>
      </c>
      <c r="O36" s="379">
        <f>'3B_Fleisch'!J13</f>
        <v>1</v>
      </c>
      <c r="P36" s="152">
        <f>IFERROR(IF(VALUE(LEFT($L$36,SEARCH("kg",$L$36)-1))&lt;=VALUE(LEFT($G$37,SEARCH("kg",$G$37)-1)),1,0),0)</f>
        <v>0</v>
      </c>
      <c r="Q36" s="152" t="s">
        <v>313</v>
      </c>
    </row>
    <row r="37" spans="1:18" ht="21.6" customHeight="1" thickBot="1">
      <c r="A37" s="177"/>
      <c r="B37" s="564"/>
      <c r="C37" s="567"/>
      <c r="D37" s="568"/>
      <c r="E37" s="570"/>
      <c r="F37" s="264" t="str">
        <f>no_total_1*LEFT(F36,SEARCH("g",F36)-1)/1000&amp;"kg"</f>
        <v>0kg</v>
      </c>
      <c r="G37" s="264" t="str">
        <f>no_total_1*LEFT(F36,SEARCH("g",F36)-1)*IF('3B_Fleisch'!J13=1,1,(IF('3B_Fleisch'!J13=2,0.75,IF('3B_Fleisch'!J13=3,0.5,IF('3B_Fleisch'!J13=4,0.2,IF('3B_Fleisch'!J13=5,0,""))))))/1000&amp;"kg"</f>
        <v>0kg</v>
      </c>
      <c r="H37" s="586"/>
      <c r="I37" s="253"/>
      <c r="J37" s="253"/>
      <c r="K37" s="253"/>
      <c r="L37" s="267" t="str">
        <f>IFERROR(IF(VALUE(LEFT(L36,SEARCH("kg",L36)-1))&lt;VALUE(LEFT(F37,SEARCH("kg",F37)-1)),"Reduktion: "&amp;ROUND((1-(VALUE(LEFT(L36,SEARCH("kg",L36)-1))/VALUE(LEFT(F37,SEARCH("kg",F37)-1))))*100,2)&amp;"%",IF(VALUE(LEFT(L36,SEARCH("kg",L36)-1))&gt;VALUE(LEFT(F37,SEARCH("kg",F37)-1)),"Zunahme: "&amp;ROUND(((LEFT(L36,SEARCH("kg",L36)-1)/LEFT(F37,SEARCH("kg",F37)-1))-1)*100,2)&amp;"%","Keine Reduktion")),"Keine Veränderung")</f>
        <v>Keine Veränderung</v>
      </c>
      <c r="M37" s="255" t="str">
        <f>IF(ISERROR(IF(VALUE(LEFT($L36,SEARCH($Q36,$L36)-1))&gt;VALUE(LEFT($G37,SEARCH($Q36,$G37)-1)),"Nein","Ja")),"",IF(VALUE(LEFT($L36,SEARCH($Q36,$L36)-1))&gt;VALUE(LEFT($G37,SEARCH($Q36,$G37)-1)),"Nein","Ja"))</f>
        <v/>
      </c>
      <c r="N37" s="340" t="str">
        <f t="shared" si="0"/>
        <v>Nicht Gewählt</v>
      </c>
      <c r="O37" s="379">
        <f>'3B_Fleisch'!J13</f>
        <v>1</v>
      </c>
      <c r="P37" s="152">
        <f>IFERROR(IF(VALUE(LEFT($L$36,SEARCH("kg",$L$36)-1))&lt;=VALUE(LEFT($G$37,SEARCH("kg",$G$37)-1)),1,0),0)</f>
        <v>0</v>
      </c>
    </row>
    <row r="38" spans="1:18" ht="30.75" thickBot="1">
      <c r="A38" s="177"/>
      <c r="B38" s="573">
        <v>10</v>
      </c>
      <c r="C38" s="587" t="s">
        <v>97</v>
      </c>
      <c r="D38" s="588"/>
      <c r="E38" s="578" t="str">
        <f>IF('3B_Fleisch'!J18=1,'3B_Fleisch'!D18,(IF('3B_Fleisch'!J18=2,'3B_Fleisch'!D19,IF('3B_Fleisch'!J18=3,'3B_Fleisch'!D20,IF('3B_Fleisch'!J18=4,'3B_Fleisch'!D21,IF('3B_Fleisch'!J18=5,'3B_Fleisch'!D22,""))))))</f>
        <v>Keine Reduktion</v>
      </c>
      <c r="F38" s="167" t="s">
        <v>326</v>
      </c>
      <c r="G38" s="168" t="str">
        <f>LEFT(F38,3)-IF('3B_Fleisch'!J18=1,'3B_Fleisch'!E18,(IF('3B_Fleisch'!J18=2,'3B_Fleisch'!E19,IF('3B_Fleisch'!J18=3,'3B_Fleisch'!E20,IF('3B_Fleisch'!J18=4,'3B_Fleisch'!E21,IF('3B_Fleisch'!J18=5,'3B_Fleisch'!E22,""))))))&amp;"g pro Menu weniger"</f>
        <v>0g pro Menu weniger</v>
      </c>
      <c r="H38" s="579">
        <f>IF('3B_Fleisch'!J18=1,'3B_Fleisch'!H22,(IF('3B_Fleisch'!J18=2,'3B_Fleisch'!H22,IF('3B_Fleisch'!J18=3,'3B_Fleisch'!H22,IF('3B_Fleisch'!J18=4,'3B_Fleisch'!H22,IF('3B_Fleisch'!J18=5,'3B_Fleisch'!H22,""))))))</f>
        <v>0</v>
      </c>
      <c r="I38" s="268" t="s">
        <v>327</v>
      </c>
      <c r="J38" s="268" t="s">
        <v>328</v>
      </c>
      <c r="K38" s="268" t="s">
        <v>329</v>
      </c>
      <c r="L38" s="327" t="str">
        <f>IF(ISNA(I39)+ISNA(J39)+ISNA(K39)=3,"",IF(SUM(I39:K39)=0,"",SUM(I39:K39) &amp; "kg"))</f>
        <v/>
      </c>
      <c r="M38" s="255"/>
      <c r="N38" s="339" t="str">
        <f t="shared" si="0"/>
        <v>Nicht Gewählt</v>
      </c>
      <c r="O38" s="379">
        <f>'3B_Fleisch'!J18</f>
        <v>1</v>
      </c>
      <c r="P38" s="152">
        <f>IFERROR(IF(VALUE(LEFT($L$38,SEARCH("kg",$L$38)-1))&lt;=VALUE(LEFT($G$39,SEARCH("kg",$G$39)-1)),1,0),0)</f>
        <v>0</v>
      </c>
      <c r="Q38" s="152" t="s">
        <v>313</v>
      </c>
    </row>
    <row r="39" spans="1:18" ht="14.25" customHeight="1" thickBot="1">
      <c r="A39" s="177"/>
      <c r="B39" s="564"/>
      <c r="C39" s="567"/>
      <c r="D39" s="568"/>
      <c r="E39" s="570"/>
      <c r="F39" s="251" t="str">
        <f>no_total_1*LEFT(F38,SEARCH("g",F38)-1)/1000&amp;"kg"</f>
        <v>0kg</v>
      </c>
      <c r="G39" s="264" t="str">
        <f>no_total_1*LEFT(F38,SEARCH("g",F38)-1)*IF('3B_Fleisch'!J18=1,1,(IF('3B_Fleisch'!J18=2,0.75,IF('3B_Fleisch'!J18=3,0.5,IF('3B_Fleisch'!J18=4,0.2,IF('3B_Fleisch'!J18=5,0,""))))))/1000&amp;"kg"</f>
        <v>0kg</v>
      </c>
      <c r="H39" s="572"/>
      <c r="I39" s="253"/>
      <c r="J39" s="253"/>
      <c r="K39" s="253"/>
      <c r="L39" s="267" t="str">
        <f>IFERROR(IF(VALUE(LEFT(L38,SEARCH("kg",L38)-1))&lt;VALUE(LEFT(F39,SEARCH("kg",F39)-1)),"Reduktion: "&amp;ROUND((1-(VALUE(LEFT(L38,SEARCH("kg",L38)-1))/VALUE(LEFT(F39,SEARCH("kg",F39)-1))))*100,2)&amp;"%",IF(VALUE(LEFT(L38,SEARCH("kg",L38)-1))&gt;VALUE(LEFT(F39,SEARCH("kg",F39)-1)),"Zunahme: "&amp;ROUND(((LEFT(L38,SEARCH("kg",L38)-1)/LEFT(F39,SEARCH("kg",F39)-1))-1)*100,2)&amp;"%","Keine Reduktion")),"Keine Veränderung")</f>
        <v>Keine Veränderung</v>
      </c>
      <c r="M39" s="255" t="str">
        <f>IF(ISERROR(IF(VALUE(LEFT($L38,SEARCH($Q38,$L38)-1))&gt;VALUE(LEFT($G39,SEARCH($Q38,$G39)-1)),"Nein","Ja")),"",IF(VALUE(LEFT($L38,SEARCH($Q38,$L38)-1))&gt;VALUE(LEFT($G39,SEARCH($Q38,$G39)-1)),"Nein","Ja"))</f>
        <v/>
      </c>
      <c r="N39" s="340" t="str">
        <f t="shared" si="0"/>
        <v>Nicht Gewählt</v>
      </c>
      <c r="O39" s="379">
        <f>'3B_Fleisch'!J18</f>
        <v>1</v>
      </c>
      <c r="P39" s="152">
        <f>IFERROR(IF(VALUE(LEFT($L$38,SEARCH("kg",$L$38)-1))&lt;=VALUE(LEFT($G$39,SEARCH("kg",$G$39)-1)),1,0),0)</f>
        <v>0</v>
      </c>
    </row>
    <row r="40" spans="1:18" ht="29.25" customHeight="1">
      <c r="A40" s="177"/>
      <c r="B40" s="573">
        <v>11</v>
      </c>
      <c r="C40" s="582" t="s">
        <v>104</v>
      </c>
      <c r="D40" s="583"/>
      <c r="E40" s="578" t="str">
        <f>IF('3B_Fleisch'!J23=1,'3B_Fleisch'!D23,(IF('3B_Fleisch'!J23=2,'3B_Fleisch'!D24,IF('3B_Fleisch'!J23=3,'3B_Fleisch'!D25,IF('3B_Fleisch'!J23=4,'3B_Fleisch'!D26,IF('3B_Fleisch'!J23=5,'3B_Fleisch'!D27,""))))))</f>
        <v>Keine Reduktion</v>
      </c>
      <c r="F40" s="153" t="s">
        <v>330</v>
      </c>
      <c r="G40" s="154" t="str">
        <f>LEFT(F40,2)-IF('3B_Fleisch'!J23=1,'3B_Fleisch'!E23,(IF('3B_Fleisch'!J23=2,'3B_Fleisch'!E24,IF('3B_Fleisch'!J23=3,'3B_Fleisch'!E25,IF('3B_Fleisch'!J23=4,'3B_Fleisch'!E26,IF('3B_Fleisch'!J23=5,'3B_Fleisch'!E27,""))))))&amp;"g pro Menu weniger"</f>
        <v>0g pro Menu weniger</v>
      </c>
      <c r="H40" s="585">
        <f>IF('3B_Fleisch'!J23=1,'3B_Fleisch'!H27,(IF('3B_Fleisch'!J23=2,'3B_Fleisch'!H27,IF('3B_Fleisch'!J23=3,'3B_Fleisch'!H27,IF('3B_Fleisch'!J23=4,'3B_Fleisch'!H27,IF('3B_Fleisch'!J23=5,'3B_Fleisch'!H27,""))))))</f>
        <v>0</v>
      </c>
      <c r="I40" s="545" t="s">
        <v>319</v>
      </c>
      <c r="J40" s="269"/>
      <c r="K40" s="269"/>
      <c r="L40" s="258" t="str">
        <f>IF(ISNA(Rind_11)+ISNA(Kalb_11)+ISNA(Schwein_11)+ISNA(Gefluegel_11)+ISNA(Fisch_11)=5,"",IF(SUM('4_Berechnung'!D16:H16)=0,"",SUM('4_Berechnung'!D16:H16) &amp; "kg"))</f>
        <v/>
      </c>
      <c r="M40" s="255"/>
      <c r="N40" s="339" t="str">
        <f t="shared" si="0"/>
        <v>Nicht Gewählt</v>
      </c>
      <c r="O40" s="379">
        <f>'3B_Fleisch'!J23</f>
        <v>1</v>
      </c>
      <c r="P40" s="152">
        <f>IFERROR(IF(VALUE(LEFT($L$40,SEARCH("kg",$L$40)-1))&lt;=VALUE(LEFT($G$41,SEARCH("kg",$G$41)-1)),1,0),0)</f>
        <v>0</v>
      </c>
      <c r="Q40" s="152" t="s">
        <v>313</v>
      </c>
    </row>
    <row r="41" spans="1:18" ht="18" customHeight="1">
      <c r="A41" s="177"/>
      <c r="B41" s="564"/>
      <c r="C41" s="587"/>
      <c r="D41" s="588"/>
      <c r="E41" s="578"/>
      <c r="F41" s="270" t="str">
        <f>no_total_1*LEFT(F40,SEARCH("g",F40)-1)/1000&amp;"kg"</f>
        <v>0kg</v>
      </c>
      <c r="G41" s="271" t="str">
        <f>no_total_1*LEFT(F40,SEARCH("g",F40)-1)*IF('3B_Fleisch'!J23=1,1,(IF('3B_Fleisch'!J23=2,0.75,IF('3B_Fleisch'!J23=3,0.5,IF('3B_Fleisch'!J23=4,0.2,IF('3B_Fleisch'!J23=5,0,""))))))/1000&amp;"kg"</f>
        <v>0kg</v>
      </c>
      <c r="H41" s="591"/>
      <c r="I41" s="546"/>
      <c r="J41" s="269"/>
      <c r="K41" s="269"/>
      <c r="L41" s="255" t="str">
        <f>IFERROR(IF(VALUE(LEFT(L40,SEARCH("kg",L40)-1))&lt;VALUE(LEFT(F41,SEARCH("kg",F41)-1)),"Reduktion: "&amp;ROUND((1-(VALUE(LEFT(L40,SEARCH("kg",L40)-1))/VALUE(LEFT(F41,SEARCH("kg",F41)-1))))*100,2)&amp;"%",IF(VALUE(LEFT(L40,SEARCH("kg",L40)-1))&gt;VALUE(LEFT(F41,SEARCH("kg",F41)-1)),"Zunahme: "&amp;ROUND(((LEFT(L40,SEARCH("kg",L40)-1)/LEFT(F41,SEARCH("kg",F41)-1))-1)*100,2)&amp;"%","Keine Reduktion")),"Keine Veränderung")</f>
        <v>Keine Veränderung</v>
      </c>
      <c r="M41" s="255" t="str">
        <f>IF(ISERROR(IF(VALUE(LEFT($L40,SEARCH($Q40,$L40)-1))&gt;VALUE(LEFT($G41,SEARCH($Q40,$G41)-1)),"Nein","Ja")),"",IF(VALUE(LEFT($L40,SEARCH($Q40,$L40)-1))&gt;VALUE(LEFT($G41,SEARCH($Q40,$G41)-1)),"Nein","Ja"))</f>
        <v/>
      </c>
      <c r="N41" s="338" t="str">
        <f t="shared" si="0"/>
        <v>Nicht Gewählt</v>
      </c>
      <c r="O41" s="379">
        <f>'3B_Fleisch'!J23</f>
        <v>1</v>
      </c>
      <c r="P41" s="152">
        <f>IFERROR(IF(VALUE(LEFT($L$40,SEARCH("kg",$L$40)-1))&lt;=VALUE(LEFT($G$41,SEARCH("kg",$G$41)-1)),1,0),0)</f>
        <v>0</v>
      </c>
    </row>
    <row r="42" spans="1:18" ht="42" customHeight="1" thickBot="1">
      <c r="A42" s="177"/>
      <c r="B42" s="573">
        <v>12</v>
      </c>
      <c r="C42" s="592" t="s">
        <v>110</v>
      </c>
      <c r="D42" s="593"/>
      <c r="E42" s="584" t="str">
        <f>IF('3B_Fleisch'!J28=1,'3B_Fleisch'!D28,(IF('3B_Fleisch'!J28=2,'3B_Fleisch'!D29,IF('3B_Fleisch'!J28=3,'3B_Fleisch'!D30,IF('3B_Fleisch'!J28=4,'3B_Fleisch'!D31,IF('3B_Fleisch'!J28=5,'3B_Fleisch'!D32,""))))))</f>
        <v>Vom gesamten Fleischeinkauf sind weniger als 1.5% Surplus</v>
      </c>
      <c r="F42" s="272" t="s">
        <v>331</v>
      </c>
      <c r="G42" s="273" t="str">
        <f>IF('3B_Fleisch'!J28=1,"Keine Reduktion",(IF('3B_Fleisch'!J28=2,"Vom gesamten Fleischeinkauf sind 1.5% Surplus",IF('3B_Fleisch'!J28=3,"Vom gesamten Fleischeinkauf sind 2.6% Surplus",IF('3B_Fleisch'!J28=4,"Vom gesamten Fleischeinkauf sind 3% Surplus",IF('3B_Fleisch'!J28=5,"Verwendung der Surplus-Stücke beim Fleisch sind über dem relativen Anteil, wie diese in der Produktion entstehen.",""))))))</f>
        <v>Keine Reduktion</v>
      </c>
      <c r="H42" s="598">
        <f>IF('3B_Fleisch'!J28=1,'3B_Fleisch'!H32,(IF('3B_Fleisch'!J28=2,'3B_Fleisch'!H32,IF('3B_Fleisch'!J28=3,'3B_Fleisch'!H32,IF('3B_Fleisch'!J28=4,'3B_Fleisch'!H32,IF('3B_Fleisch'!J28=5,'3B_Fleisch'!H32,""))))))</f>
        <v>0</v>
      </c>
      <c r="I42" s="274" t="s">
        <v>332</v>
      </c>
      <c r="J42" s="275"/>
      <c r="K42" s="275"/>
      <c r="L42" s="258" t="str">
        <f>IF(ISNA(I43)=1,"",IF(SUM(I43)=0,"",SUM(I43) &amp; "%"))</f>
        <v/>
      </c>
      <c r="M42" s="255"/>
      <c r="N42" s="339" t="str">
        <f t="shared" si="0"/>
        <v>Nicht Gewählt</v>
      </c>
      <c r="O42" s="379">
        <f>'3B_Fleisch'!J28</f>
        <v>1</v>
      </c>
      <c r="P42" s="152">
        <f>IFERROR(IF(VALUE(LEFT($L$42,SEARCH("%",$L$42)-1))&gt;=0,1,0),0)</f>
        <v>0</v>
      </c>
      <c r="Q42" s="152" t="s">
        <v>333</v>
      </c>
    </row>
    <row r="43" spans="1:18" ht="15.75" thickBot="1">
      <c r="A43" s="177"/>
      <c r="B43" s="564"/>
      <c r="C43" s="594"/>
      <c r="D43" s="595"/>
      <c r="E43" s="570"/>
      <c r="F43" s="276" t="s">
        <v>334</v>
      </c>
      <c r="G43" s="277" t="str">
        <f>IF('3B_Fleisch'!J28=1,"Keine Reduktion",(IF('3B_Fleisch'!J28=2,"1.5% Surplus",IF('3B_Fleisch'!J28=3,"2.6% Surplus",IF('3B_Fleisch'!J28=4,"3% Surplus",IF('3B_Fleisch'!J28=5,"Überdurchschn. Anteil",""))))))</f>
        <v>Keine Reduktion</v>
      </c>
      <c r="H43" s="572"/>
      <c r="I43" s="253"/>
      <c r="J43" s="254"/>
      <c r="K43" s="259"/>
      <c r="L43" s="255" t="str">
        <f>IFERROR(IF(LEFT(L42,SEARCH("%",L42)-1)&gt;LEFT(F43,SEARCH("%",F43)-1),"Zunahme: "&amp;LEFT(L42,SEARCH("%",L42)-1)&amp;"%","Keine Zunahme"),"Keine Veränderung")</f>
        <v>Keine Veränderung</v>
      </c>
      <c r="M43" s="255" t="str">
        <f>IF(ISERROR(IF(VALUE(LEFT($L42,SEARCH($Q42,$L42)-1))&gt;VALUE(LEFT($G43,SEARCH($Q42,$G43)-1)),"Nein","Ja")),"",IF(VALUE(LEFT($L42,SEARCH($Q42,$L42)-1))&gt;VALUE(LEFT($G43,SEARCH($Q42,$G43)-1)),"Nein","Ja"))</f>
        <v/>
      </c>
      <c r="N43" s="338" t="str">
        <f t="shared" si="0"/>
        <v>Nicht Gewählt</v>
      </c>
      <c r="O43" s="379">
        <f>'3B_Fleisch'!J28</f>
        <v>1</v>
      </c>
      <c r="P43" s="152">
        <f>IFERROR(IF(VALUE(LEFT($L$42,SEARCH("%",$L$42)-1))&gt;=0,1,0),0)</f>
        <v>0</v>
      </c>
    </row>
    <row r="44" spans="1:18" ht="39" customHeight="1">
      <c r="A44" s="177"/>
      <c r="B44" s="573">
        <v>13</v>
      </c>
      <c r="C44" s="589" t="s">
        <v>119</v>
      </c>
      <c r="D44" s="590"/>
      <c r="E44" s="578" t="str">
        <f>IF('3B_Fleisch'!J33=1,'3B_Fleisch'!D33,(IF('3B_Fleisch'!J33=2,'3B_Fleisch'!D34,IF('3B_Fleisch'!J33=3,'3B_Fleisch'!D35,IF('3B_Fleisch'!J33=4,'3B_Fleisch'!D36,IF('3B_Fleisch'!J33=5,'3B_Fleisch'!D37,""))))))</f>
        <v>Keine Reduktion</v>
      </c>
      <c r="F44" s="278" t="str">
        <f>"19g rot+37g weiss"&amp;CHAR(10)&amp;"(Verhältnis 1:2)"</f>
        <v>19g rot+37g weiss
(Verhältnis 1:2)</v>
      </c>
      <c r="G44" s="247" t="str">
        <f>IF('3B_Fleisch'!J33=1,"Keine Reduktion",(IF('3B_Fleisch'!J33=2,"14.0g rot+42.0g weiss"&amp;CHAR(10)&amp;"(Verhältnis 1:3)",IF('3B_Fleisch'!J33=3,"11.2g rot+44.8g weiss"&amp;CHAR(10)&amp;"(Verhältnis 1:4)",IF('3B_Fleisch'!J33=4,"09.30g rot+46.6g weiss"&amp;CHAR(10)&amp;"(Verhältnis 1:5)",IF('3B_Fleisch'!J33=5,"0.0g rot+56.0g weiss"&amp;CHAR(10),""""))))))</f>
        <v>Keine Reduktion</v>
      </c>
      <c r="H44" s="591">
        <f>IF('3B_Fleisch'!J33=1,'3B_Fleisch'!H37,(IF('3B_Fleisch'!J33=2,'3B_Fleisch'!H37,IF('3B_Fleisch'!J33=3,'3B_Fleisch'!H37,IF('3B_Fleisch'!J33=4,'3B_Fleisch'!H37,IF('3B_Fleisch'!J33=5,'3B_Fleisch'!H37,""))))))</f>
        <v>0</v>
      </c>
      <c r="I44" s="547" t="s">
        <v>319</v>
      </c>
      <c r="J44" s="269"/>
      <c r="K44" s="269"/>
      <c r="L44" s="279" t="str">
        <f>IF(ISNA(Rind_13)+ISNA(Kalb_13)+ISNA(Schwein_13)+ISNA(Gefluegel_13)+ISNA(Fisch_13)=5,"",IF(SUM('4_Berechnung'!D21:H21)=0,"",Rind_13+Kalb_13+Schwein_13&amp;"kg rot + "&amp;Gefluegel_13+Fisch_13&amp;"kg weiss"))</f>
        <v/>
      </c>
      <c r="M44" s="255"/>
      <c r="N44" s="341" t="str">
        <f t="shared" si="0"/>
        <v>Nicht Gewählt</v>
      </c>
      <c r="O44" s="379">
        <f>'3B_Fleisch'!J33</f>
        <v>1</v>
      </c>
      <c r="P44" s="152">
        <f>IFERROR(IF(AND(VALUE(LEFT($L$44,SEARCH("kg",$L$44)-1))&lt;=VALUE(LEFT($G$45,SEARCH("kg",$G$45)-1)),VALUE((MID($L$44,SEARCH("+ ",$L$44)+2,(SEARCH("kg weiss",$L$44)-SEARCH("+ ",$L$44)-2))))&lt;=VALUE((MID($G$45,SEARCH("+ ",$G$45)+2,(SEARCH("kg weiss",$G$45)-SEARCH("+ ",$G$45)-2))))),1,0),0)</f>
        <v>0</v>
      </c>
      <c r="Q44" s="152" t="s">
        <v>313</v>
      </c>
    </row>
    <row r="45" spans="1:18" ht="63" customHeight="1">
      <c r="A45" s="177"/>
      <c r="B45" s="564"/>
      <c r="C45" s="589"/>
      <c r="D45" s="590"/>
      <c r="E45" s="544"/>
      <c r="F45" s="280" t="str">
        <f>no_total_1*LEFT(F44,SEARCH("g",F44)-1)/1000&amp;"kg rot + "&amp;MID(F44,SEARCH("+",F44)+1,2)/1000*no_total_1&amp;"kg weiss"</f>
        <v>0kg rot + 0kg weiss</v>
      </c>
      <c r="G45" s="244" t="str">
        <f>IF('3B_Fleisch'!J33=1,F45,IF(1&lt;'3B_Fleisch'!J33&lt;5,no_total_1*LEFT(G44,SEARCH("g",G44)-1)/1000&amp;"kg rot"&amp;CHAR(10)&amp;MID(G44,SEARCH("+",G44)+1,4)/1000*no_total_1&amp;"kg weiss",no_total_1*LEFT(G44,SEARCH("g",G44)-1)/1000&amp;"kg rot + "&amp;MID(G44,SEARCH("+",G44)+1,4)/1000*no_total_1&amp;"kg weiss"))</f>
        <v>0kg rot + 0kg weiss</v>
      </c>
      <c r="H45" s="591"/>
      <c r="I45" s="548"/>
      <c r="J45" s="269"/>
      <c r="K45" s="269"/>
      <c r="L45" s="281" t="str">
        <f>IFERROR(IF(VALUE(LEFT(L44,SEARCH("kg",L44)-1))&lt;VALUE(LEFT(F45,SEARCH("kg",F45)-1)),"Reduktion rot: "&amp;ROUND((1-(VALUE(LEFT(L44,SEARCH("kg",L44)-1))/VALUE(LEFT(F45,SEARCH("kg",F45)-1))))*100,2)&amp;"%",IF(VALUE(LEFT(L44,SEARCH("kg",L44)-1))&gt;VALUE(LEFT(F45,SEARCH("kg",F45)-1)),"Zunahme rot: "&amp;ROUND(((LEFT(L44,SEARCH("kg",L44)-1)/LEFT(F45,SEARCH("kg",F45)-1))-1)*100,2)&amp;"%","Keine Reduktion Fleisch"))&amp;CHAR(10)&amp;IF(VALUE((MID(L44,SEARCH("+ ",L44)+2,(SEARCH("kg weiss",L44)-SEARCH("+ ",L44)-2))))&lt;VALUE((MID(F45,SEARCH("+ ",F45)+2,(SEARCH("kg weiss",F45)-SEARCH("+ ",F45)-2)))),"Reduktion weiss: "&amp;ROUND((1-(VALUE((MID(L44,SEARCH("+ ",L44)+2,(SEARCH("kg weiss",L44)-SEARCH("+ ",L44)-2))))/VALUE((MID(F45,SEARCH("+ ",F45)+2,(SEARCH("kg weiss",F45)-SEARCH("+ ",F45)-2))))))*100,2)&amp;"%",IF(VALUE((MID(L44,SEARCH("+ ",L44)+2,(SEARCH("kg weiss",L44)-SEARCH("+ ",L44)-2))))&gt;VALUE((MID(F45,SEARCH("+ ",F45)+2,(SEARCH("kg weiss",F45)-SEARCH("+ ",F45)-2)))),"Zunahme weiss: "&amp;ROUND((((MID(L44,SEARCH("+ ",L44)+2,(SEARCH("kg weiss",L44)-SEARCH("+ ",L44)-2)))/(MID(F45,SEARCH("+ ",F45)+2,(SEARCH("kg weiss",F45)-SEARCH("+ ",F45)-2))))-1)*100,2)&amp;"%","Keine Reduktion weiss")),"Keine Veränderung")</f>
        <v>Keine Veränderung</v>
      </c>
      <c r="M45" s="281" t="str">
        <f>IF(H44=0,"",IF(ISERROR(FIND("Zunahme",L45)),"Ja","Nein"))</f>
        <v/>
      </c>
      <c r="N45" s="342" t="str">
        <f t="shared" si="0"/>
        <v>Nicht Gewählt</v>
      </c>
      <c r="O45" s="379">
        <f>'3B_Fleisch'!J33</f>
        <v>1</v>
      </c>
      <c r="P45" s="152">
        <f>IFERROR(IF(AND(VALUE(LEFT($L$44,SEARCH("kg",$L$44)-1))&lt;=VALUE(LEFT($G$45,SEARCH("kg",$G$45)-1)),VALUE((MID($L$44,SEARCH("+ ",$L$44)+2,(SEARCH("kg weiss",$L$44)-SEARCH("+ ",$L$44)-2))))&lt;=VALUE((MID($G$45,SEARCH("+ ",$G$45)+2,(SEARCH("kg weiss",$G$45)-SEARCH("+ ",$G$45)-2))))),1,0),0)</f>
        <v>0</v>
      </c>
      <c r="R45" s="353"/>
    </row>
    <row r="46" spans="1:18" ht="29.25" customHeight="1" thickBot="1">
      <c r="A46" s="177"/>
      <c r="B46" s="573">
        <v>14</v>
      </c>
      <c r="C46" s="592" t="s">
        <v>126</v>
      </c>
      <c r="D46" s="593"/>
      <c r="E46" s="596" t="str">
        <f>IF('3B_Fleisch'!J38=1,'3B_Fleisch'!D38,(IF('3B_Fleisch'!J38=2,'3B_Fleisch'!D39,IF('3B_Fleisch'!J38=3,'3B_Fleisch'!D40,IF('3B_Fleisch'!J38=4,'3B_Fleisch'!D41,IF('3B_Fleisch'!J38=5,'3B_Fleisch'!D42,""))))))</f>
        <v>Keine Reduktion</v>
      </c>
      <c r="F46" s="246" t="s">
        <v>335</v>
      </c>
      <c r="G46" s="248" t="str">
        <f>LEFT(F46,3)-IF('3B_Fleisch'!J38=1,'3B_Fleisch'!E38,(IF('3B_Fleisch'!J38=2,'3B_Fleisch'!E39,IF('3B_Fleisch'!J38=3,'3B_Fleisch'!E40,IF('3B_Fleisch'!J38=4,'3B_Fleisch'!E41,IF('3B_Fleisch'!J38=5,'3B_Fleisch'!E42,""))))))&amp;"g pro Menu weniger"</f>
        <v>0g pro Menu weniger</v>
      </c>
      <c r="H46" s="585">
        <f>IF('3B_Fleisch'!J38=1,'3B_Fleisch'!H42,(IF('3B_Fleisch'!J38=2,'3B_Fleisch'!H42,IF('3B_Fleisch'!J38=3,'3B_Fleisch'!H42,IF('3B_Fleisch'!J38=4,'3B_Fleisch'!H42,IF('3B_Fleisch'!J38=5,'3B_Fleisch'!H42,""))))))</f>
        <v>0</v>
      </c>
      <c r="I46" s="266" t="s">
        <v>325</v>
      </c>
      <c r="J46" s="282"/>
      <c r="K46" s="282"/>
      <c r="L46" s="258" t="str">
        <f>IF(ISNA(I47)=1,"",IF(SUM(I47)=0,"",SUM(I47) &amp; "kg"))</f>
        <v/>
      </c>
      <c r="M46" s="255"/>
      <c r="N46" s="339" t="str">
        <f t="shared" si="0"/>
        <v>Nicht Gewählt</v>
      </c>
      <c r="O46" s="379">
        <f>'3B_Fleisch'!J38</f>
        <v>1</v>
      </c>
      <c r="P46" s="152">
        <f>IFERROR(IF(VALUE(LEFT($L$46,SEARCH("kg",$L$46)-1))&lt;=VALUE(LEFT($G$47,SEARCH("kg",$G$47)-1)),1,0),0)</f>
        <v>0</v>
      </c>
      <c r="Q46" s="152" t="s">
        <v>313</v>
      </c>
    </row>
    <row r="47" spans="1:18" ht="15.75" thickBot="1">
      <c r="A47" s="177"/>
      <c r="B47" s="564"/>
      <c r="C47" s="594"/>
      <c r="D47" s="595"/>
      <c r="E47" s="597"/>
      <c r="F47" s="283" t="str">
        <f>no_total_1*LEFT(F46,SEARCH("g",F46)-1)/1000&amp;"kg"</f>
        <v>0kg</v>
      </c>
      <c r="G47" s="284" t="str">
        <f>LEFT(F47,SEARCH("kg",F47)-1)*IF('3B_Fleisch'!J38=1,1,(IF('3B_Fleisch'!J38=2,0.75,IF('3B_Fleisch'!J38=3,0.5,IF('3B_Fleisch'!J38=4,0.2,IF('3B_Fleisch'!J38=5,0,""))))))&amp;"kg"</f>
        <v>0kg</v>
      </c>
      <c r="H47" s="586"/>
      <c r="I47" s="253"/>
      <c r="J47" s="254"/>
      <c r="K47" s="254"/>
      <c r="L47" s="255" t="str">
        <f>IFERROR(IF(VALUE(LEFT(L46,SEARCH("kg",L46)-1))&lt;VALUE(LEFT(F47,SEARCH("kg",F47)-1)),"Reduktion: "&amp;ROUND((1-(VALUE(LEFT(L46,SEARCH("kg",L46)-1))/VALUE(LEFT(F47,SEARCH("kg",F47)-1))))*100,2)&amp;"%",IF(VALUE(LEFT(L46,SEARCH("kg",L46)-1))&gt;VALUE(LEFT(F47,SEARCH("kg",F47)-1)),"Zunahme: "&amp;ROUND(((LEFT(L46,SEARCH("kg",L46)-1)/LEFT(F47,SEARCH("kg",F47)-1))-1)*100,2)&amp;"%","Keine Reduktion")),"Keine Veränderung")</f>
        <v>Keine Veränderung</v>
      </c>
      <c r="M47" s="255" t="str">
        <f>IF(ISERROR(IF(VALUE(LEFT($L46,SEARCH($Q46,$L46)-1))&gt;VALUE(LEFT($G47,SEARCH($Q46,$G47)-1)),"Nein","Ja")),"",IF(VALUE(LEFT($L46,SEARCH($Q46,$L46)-1))&gt;VALUE(LEFT($G47,SEARCH($Q46,$G47)-1)),"Nein","Ja"))</f>
        <v/>
      </c>
      <c r="N47" s="338" t="str">
        <f t="shared" si="0"/>
        <v>Nicht Gewählt</v>
      </c>
      <c r="O47" s="379">
        <f>'3B_Fleisch'!J38</f>
        <v>1</v>
      </c>
      <c r="P47" s="152">
        <f>IFERROR(IF(VALUE(LEFT($L$46,SEARCH("kg",$L$46)-1))&lt;=VALUE(LEFT($G$47,SEARCH("kg",$G$47)-1)),1,0),0)</f>
        <v>0</v>
      </c>
    </row>
    <row r="48" spans="1:18" ht="29.25" customHeight="1" thickBot="1">
      <c r="A48" s="177"/>
      <c r="B48" s="573">
        <v>15</v>
      </c>
      <c r="C48" s="589" t="s">
        <v>135</v>
      </c>
      <c r="D48" s="590"/>
      <c r="E48" s="544" t="str">
        <f>IF('3B_Fleisch'!J43=1,'3B_Fleisch'!D43,(IF('3B_Fleisch'!J43=2,'3B_Fleisch'!D44,IF('3B_Fleisch'!J43=3,'3B_Fleisch'!D45,IF('3B_Fleisch'!J43=4,'3B_Fleisch'!D46,IF('3B_Fleisch'!J43=5,'3B_Fleisch'!D47,""))))))</f>
        <v>Keine Reduktion</v>
      </c>
      <c r="F48" s="247" t="s">
        <v>336</v>
      </c>
      <c r="G48" s="285" t="str">
        <f>(LEFT(F48,4)-IF('3B_Fleisch'!J43=1,'3B_Fleisch'!E43,(IF('3B_Fleisch'!J43=2,'3B_Fleisch'!E44,IF('3B_Fleisch'!J43=3,'3B_Fleisch'!E45,IF('3B_Fleisch'!J43=4,'3B_Fleisch'!E46,IF('3B_Fleisch'!J43=5,'3B_Fleisch'!E47,"")))))))&amp;"g pro Menu weniger"</f>
        <v>0g pro Menu weniger</v>
      </c>
      <c r="H48" s="585">
        <f>IF('3B_Fleisch'!J43=1,'3B_Fleisch'!H47,(IF('3B_Fleisch'!J43=2,'3B_Fleisch'!H47,IF('3B_Fleisch'!J43=3,'3B_Fleisch'!H47,IF('3B_Fleisch'!J43=4,'3B_Fleisch'!H47,IF('3B_Fleisch'!J43=5,'3B_Fleisch'!H47,""))))))</f>
        <v>0</v>
      </c>
      <c r="I48" s="265" t="s">
        <v>337</v>
      </c>
      <c r="J48" s="282"/>
      <c r="K48" s="282"/>
      <c r="L48" s="258" t="str">
        <f>IF(ISNA(I49)=1,"",IF(SUM(I49)=0,"",SUM(I49) &amp; "kg"))</f>
        <v/>
      </c>
      <c r="M48" s="255"/>
      <c r="N48" s="339" t="str">
        <f t="shared" si="0"/>
        <v>Nicht Gewählt</v>
      </c>
      <c r="O48" s="379">
        <f>'3B_Fleisch'!J43</f>
        <v>1</v>
      </c>
      <c r="P48" s="152">
        <f>IFERROR(IF(VALUE(LEFT($L$48,SEARCH("kg",$L$48)-1))&lt;=VALUE(LEFT($G$49,SEARCH("kg",$G$49)-1)),1,0),0)</f>
        <v>0</v>
      </c>
      <c r="Q48" s="152" t="s">
        <v>313</v>
      </c>
    </row>
    <row r="49" spans="1:18" ht="15.75" thickBot="1">
      <c r="A49" s="177"/>
      <c r="B49" s="564"/>
      <c r="C49" s="589"/>
      <c r="D49" s="590"/>
      <c r="E49" s="544"/>
      <c r="F49" s="286" t="str">
        <f>no_total_1*LEFT(F48,SEARCH("g",F48)-1)/1000&amp;"kg"</f>
        <v>0kg</v>
      </c>
      <c r="G49" s="284" t="str">
        <f>LEFT(F49,SEARCH("kg",F49)-1)*IF('3B_Fleisch'!J43=1,1,(IF('3B_Fleisch'!J43=2,0.75,IF('3B_Fleisch'!J43=3,0.5,IF('3B_Fleisch'!J43=4,0.2,IF('3B_Fleisch'!J43=5,0,""))))))&amp;"kg"</f>
        <v>0kg</v>
      </c>
      <c r="H49" s="586"/>
      <c r="I49" s="253"/>
      <c r="J49" s="254"/>
      <c r="K49" s="254"/>
      <c r="L49" s="255" t="str">
        <f>IFERROR(IF(VALUE(LEFT(L48,SEARCH("kg",L48)-1))&lt;VALUE(LEFT(F49,SEARCH("kg",F49)-1)),"Reduktion: "&amp;ROUND((1-(VALUE(LEFT(L48,SEARCH("kg",L48)-1))/VALUE(LEFT(F49,SEARCH("kg",F49)-1))))*100,2)&amp;"%",IF(VALUE(LEFT(L48,SEARCH("kg",L48)-1))&gt;VALUE(LEFT(F49,SEARCH("kg",F49)-1)),"Zunahme: "&amp;ROUND(((LEFT(L48,SEARCH("kg",L48)-1)/LEFT(F49,SEARCH("kg",F49)-1))-1)*100,2)&amp;"%","Keine Reduktion")),"Keine Veränderung")</f>
        <v>Keine Veränderung</v>
      </c>
      <c r="M49" s="255" t="str">
        <f>IF(ISERROR(IF(VALUE(LEFT($L48,SEARCH($Q48,$L48)-1))&gt;VALUE(LEFT($G49,SEARCH($Q48,$G49)-1)),"Nein","Ja")),"",IF(VALUE(LEFT($L48,SEARCH($Q48,$L48)-1))&gt;VALUE(LEFT($G49,SEARCH($Q48,$G49)-1)),"Nein","Ja"))</f>
        <v/>
      </c>
      <c r="N49" s="338" t="str">
        <f t="shared" si="0"/>
        <v>Nicht Gewählt</v>
      </c>
      <c r="O49" s="379">
        <f>'3B_Fleisch'!J43</f>
        <v>1</v>
      </c>
      <c r="P49" s="152">
        <f>IFERROR(IF(VALUE(LEFT($L$48,SEARCH("kg",$L$48)-1))&lt;=VALUE(LEFT($G$49,SEARCH("kg",$G$49)-1)),1,0),0)</f>
        <v>0</v>
      </c>
    </row>
    <row r="50" spans="1:18" ht="29.25" customHeight="1" thickBot="1">
      <c r="A50" s="177"/>
      <c r="B50" s="573">
        <v>16</v>
      </c>
      <c r="C50" s="592" t="s">
        <v>137</v>
      </c>
      <c r="D50" s="593"/>
      <c r="E50" s="596" t="str">
        <f>IF('3B_Fleisch'!J48=1,'3B_Fleisch'!D48,(IF('3B_Fleisch'!J48=2,'3B_Fleisch'!D49,IF('3B_Fleisch'!J48=3,'3B_Fleisch'!D50,IF('3B_Fleisch'!J48=4,'3B_Fleisch'!D51,IF('3B_Fleisch'!J48=5,'3B_Fleisch'!D52,""))))))</f>
        <v>Keine Reduktion</v>
      </c>
      <c r="F50" s="246" t="s">
        <v>338</v>
      </c>
      <c r="G50" s="246" t="str">
        <f>LEFT(F50,2)-IF('3B_Fleisch'!J48=1,'3B_Fleisch'!E48,(IF('3B_Fleisch'!J48=2,'3B_Fleisch'!E49,IF('3B_Fleisch'!J48=3,'3B_Fleisch'!E50,IF('3B_Fleisch'!J48=4,'3B_Fleisch'!E51,IF('3B_Fleisch'!J48=5,'3B_Fleisch'!E52,""))))))&amp;"g pro Menu weniger"</f>
        <v>0g pro Menu weniger</v>
      </c>
      <c r="H50" s="585">
        <f>IF('3B_Fleisch'!J48=1,'3B_Fleisch'!H52,(IF('3B_Fleisch'!J48=2,'3B_Fleisch'!H52,IF('3B_Fleisch'!J48=3,'3B_Fleisch'!H52,IF('3B_Fleisch'!J48=4,'3B_Fleisch'!H52,IF('3B_Fleisch'!J48=5,'3B_Fleisch'!H52,""))))))</f>
        <v>0</v>
      </c>
      <c r="I50" s="260" t="s">
        <v>339</v>
      </c>
      <c r="J50" s="282"/>
      <c r="K50" s="282"/>
      <c r="L50" s="258" t="str">
        <f>IF(ISNA(I51)=1,"",IF(SUM(I51)=0,"",SUM(I51) &amp; "kg"))</f>
        <v/>
      </c>
      <c r="M50" s="255"/>
      <c r="N50" s="348" t="str">
        <f t="shared" si="0"/>
        <v>Nicht Gewählt</v>
      </c>
      <c r="O50" s="379">
        <f>'3B_Fleisch'!J48</f>
        <v>1</v>
      </c>
      <c r="P50" s="152">
        <f>IFERROR(IF(VALUE(LEFT($L$50,SEARCH("kg",$L$50)-1))&lt;=VALUE(LEFT($G$51,SEARCH("kg",$G$51)-1)),1,0),0)</f>
        <v>0</v>
      </c>
      <c r="Q50" s="152" t="s">
        <v>313</v>
      </c>
    </row>
    <row r="51" spans="1:18" ht="14.25" customHeight="1" thickBot="1">
      <c r="A51" s="177"/>
      <c r="B51" s="564"/>
      <c r="C51" s="594"/>
      <c r="D51" s="595"/>
      <c r="E51" s="597"/>
      <c r="F51" s="283" t="str">
        <f>no_total_1*LEFT(F50,SEARCH("g",F50)-1)/1000&amp;"kg"</f>
        <v>0kg</v>
      </c>
      <c r="G51" s="283" t="str">
        <f>LEFT(F51,SEARCH("kg",F51)-1)*IF('3B_Fleisch'!J48=1,1,(IF('3B_Fleisch'!J48=2,0.75,IF('3B_Fleisch'!J48=3,0.5,IF('3B_Fleisch'!J48=4,0.2,IF('3B_Fleisch'!J48=5,0,""))))))&amp;"kg"</f>
        <v>0kg</v>
      </c>
      <c r="H51" s="586"/>
      <c r="I51" s="253"/>
      <c r="J51" s="254"/>
      <c r="K51" s="254"/>
      <c r="L51" s="255" t="str">
        <f>IFERROR(IF(VALUE(LEFT(L50,SEARCH("kg",L50)-1))&lt;VALUE(LEFT(F51,SEARCH("kg",F51)-1)),"Reduktion: "&amp;ROUND((1-(VALUE(LEFT(L50,SEARCH("kg",L50)-1))/VALUE(LEFT(F51,SEARCH("kg",F51)-1))))*100,2)&amp;"%",IF(VALUE(LEFT(L50,SEARCH("kg",L50)-1))&gt;VALUE(LEFT(F51,SEARCH("kg",F51)-1)),"Zunahme: "&amp;ROUND(((LEFT(L50,SEARCH("kg",L50)-1)/LEFT(F51,SEARCH("kg",F51)-1))-1)*100,2)&amp;"%","Keine Reduktion")),"Keine Veränderung")</f>
        <v>Keine Veränderung</v>
      </c>
      <c r="M51" s="255" t="str">
        <f>IF(ISERROR(IF(VALUE(LEFT($L50,SEARCH($Q50,$L50)-1))&gt;VALUE(LEFT($G51,SEARCH($Q50,$G51)-1)),"Nein","Ja")),"",IF(VALUE(LEFT($L50,SEARCH($Q50,$L50)-1))&gt;VALUE(LEFT($G51,SEARCH($Q50,$G51)-1)),"Nein","Ja"))</f>
        <v/>
      </c>
      <c r="N51" s="338" t="str">
        <f t="shared" si="0"/>
        <v>Nicht Gewählt</v>
      </c>
      <c r="O51" s="379">
        <f>'3B_Fleisch'!J48</f>
        <v>1</v>
      </c>
      <c r="P51" s="152">
        <f>IFERROR(IF(VALUE(LEFT($L$50,SEARCH("kg",$L$50)-1))&lt;=VALUE(LEFT($G$51,SEARCH("kg",$G$51)-1)),1,0),0)</f>
        <v>0</v>
      </c>
    </row>
    <row r="52" spans="1:18" ht="29.25" customHeight="1" thickBot="1">
      <c r="A52" s="177"/>
      <c r="B52" s="573">
        <v>17</v>
      </c>
      <c r="C52" s="592" t="s">
        <v>145</v>
      </c>
      <c r="D52" s="593"/>
      <c r="E52" s="578" t="str">
        <f>IF('3B_Fleisch'!J53=1,'3B_Fleisch'!D53,(IF('3B_Fleisch'!J53=2,'3B_Fleisch'!D54,IF('3B_Fleisch'!J53=3,'3B_Fleisch'!D55,IF('3B_Fleisch'!J53=4,'3B_Fleisch'!D56,IF('3B_Fleisch'!J53=5,'3B_Fleisch'!D57,""))))))</f>
        <v>Keine Reduktion</v>
      </c>
      <c r="F52" s="287" t="s">
        <v>340</v>
      </c>
      <c r="G52" s="246" t="str">
        <f>LEFT(F52,1)-IF('3B_Fleisch'!J53=1,'3B_Fleisch'!E53,(IF('3B_Fleisch'!J53=2,'3B_Fleisch'!E54,IF('3B_Fleisch'!J53=3,'3B_Fleisch'!E55,IF('3B_Fleisch'!J53=4,'3B_Fleisch'!E56,IF('3B_Fleisch'!J53=5,'3B_Fleisch'!E57,""))))))&amp;"g pro Menu weniger"</f>
        <v>0g pro Menu weniger</v>
      </c>
      <c r="H52" s="579">
        <f>IF('3B_Fleisch'!J53=1,'3B_Fleisch'!H57,(IF('3B_Fleisch'!J53=2,'3B_Fleisch'!H57,IF('3B_Fleisch'!J53=3,'3B_Fleisch'!H57,IF('3B_Fleisch'!J53=4,'3B_Fleisch'!H57,IF('3B_Fleisch'!J53=5,'3B_Fleisch'!H57,""))))))</f>
        <v>0</v>
      </c>
      <c r="I52" s="256" t="s">
        <v>341</v>
      </c>
      <c r="J52" s="257"/>
      <c r="K52" s="257"/>
      <c r="L52" s="258" t="str">
        <f>IF(ISNA(I53)=1,"",IF(SUM(I53)=0,"",SUM(I53) &amp; "kg"))</f>
        <v/>
      </c>
      <c r="M52" s="255"/>
      <c r="N52" s="348" t="str">
        <f t="shared" si="0"/>
        <v>Nicht Gewählt</v>
      </c>
      <c r="O52" s="379">
        <f>'3B_Fleisch'!J53</f>
        <v>1</v>
      </c>
      <c r="P52" s="152">
        <f>IFERROR(IF(VALUE(LEFT($L$52,SEARCH("kg",$L$52)-1))&lt;=VALUE(LEFT($G$53,SEARCH("kg",$G$53)-1)),1,0),0)</f>
        <v>0</v>
      </c>
      <c r="Q52" s="152" t="s">
        <v>313</v>
      </c>
    </row>
    <row r="53" spans="1:18" ht="15.75" thickBot="1">
      <c r="A53" s="177"/>
      <c r="B53" s="564"/>
      <c r="C53" s="594"/>
      <c r="D53" s="595"/>
      <c r="E53" s="578"/>
      <c r="F53" s="288" t="str">
        <f>no_total_1*LEFT(F52,SEARCH("g",F52)-1)/1000&amp;"kg"</f>
        <v>0kg</v>
      </c>
      <c r="G53" s="288" t="str">
        <f>no_total_1*LEFT(F52,SEARCH("g",F52)-1)*IF('3B_Fleisch'!J53=1,1,(IF('3B_Fleisch'!J53=2,0.75,IF('3B_Fleisch'!J53=3,0.5,IF('3B_Fleisch'!J53=4,0.2,IF('3B_Fleisch'!J53=5,0,""))))))/1000&amp;"kg"</f>
        <v>0kg</v>
      </c>
      <c r="H53" s="599"/>
      <c r="I53" s="253"/>
      <c r="J53" s="269"/>
      <c r="K53" s="257"/>
      <c r="L53" s="255" t="str">
        <f>IFERROR(IF(VALUE(LEFT(L52,SEARCH("kg",L52)-1))&lt;VALUE(LEFT(F53,SEARCH("kg",F53)-1)),"Reduktion: "&amp;ROUND((1-(VALUE(LEFT(L52,SEARCH("kg",L52)-1))/VALUE(LEFT(F53,SEARCH("kg",F53)-1))))*100,2)&amp;"%",IF(VALUE(LEFT(L52,SEARCH("kg",L52)-1))&gt;VALUE(LEFT(F53,SEARCH("kg",F53)-1)),"Zunahme: "&amp;ROUND(((LEFT(L52,SEARCH("kg",L52)-1)/LEFT(F53,SEARCH("kg",F53)-1))-1)*100,2)&amp;"%","Keine Reduktion")),"Keine Veränderung")</f>
        <v>Keine Veränderung</v>
      </c>
      <c r="M53" s="255" t="str">
        <f>IF(ISERROR(IF(VALUE(LEFT($L52,SEARCH($Q52,$L52)-1))&gt;VALUE(LEFT($G53,SEARCH($Q52,$G53)-1)),"Nein","Ja")),"",IF(VALUE(LEFT($L52,SEARCH($Q52,$L52)-1))&gt;VALUE(LEFT($G53,SEARCH($Q52,$G53)-1)),"Nein","Ja"))</f>
        <v/>
      </c>
      <c r="N53" s="338" t="str">
        <f t="shared" si="0"/>
        <v>Nicht Gewählt</v>
      </c>
      <c r="O53" s="379">
        <f>'3B_Fleisch'!J53</f>
        <v>1</v>
      </c>
      <c r="P53" s="152">
        <f>IFERROR(IF(VALUE(LEFT($L$52,SEARCH("kg",$L$52)-1))&lt;=VALUE(LEFT($G$53,SEARCH("kg",$G$53)-1)),1,0),0)</f>
        <v>0</v>
      </c>
    </row>
    <row r="54" spans="1:18" ht="29.25" customHeight="1">
      <c r="A54" s="177"/>
      <c r="B54" s="573">
        <v>18</v>
      </c>
      <c r="C54" s="592" t="s">
        <v>151</v>
      </c>
      <c r="D54" s="593"/>
      <c r="E54" s="584" t="str">
        <f>IF('3B_Fleisch'!J58=1,'3B_Fleisch'!D58,(IF('3B_Fleisch'!J58=2,'3B_Fleisch'!D59,IF('3B_Fleisch'!J58=3,'3B_Fleisch'!D60,IF('3B_Fleisch'!J58=4,'3B_Fleisch'!D61,IF('3B_Fleisch'!J58=5,'3B_Fleisch'!D62,""))))))</f>
        <v>Keine Reduktion</v>
      </c>
      <c r="F54" s="246" t="s">
        <v>342</v>
      </c>
      <c r="G54" s="246" t="str">
        <f>LEFT(F54,2)*IF('3B_Fleisch'!J58=1,0,(IF('3B_Fleisch'!J58=2,0.5,IF('3B_Fleisch'!J58=3,0.65,IF('3B_Fleisch'!J58=4,0.8,IF('3B_Fleisch'!J58=5,1,""))))))&amp;"g Milchpr. weniger"&amp;CHAR(10)&amp;MID(F54,SEARCH("5",F54),2)*IF('3B_Fleisch'!J58=1,0,(IF('3B_Fleisch'!J58=2,0.5,IF('3B_Fleisch'!J58=3,0.65,IF('3B_Fleisch'!J58=4,0.8,IF('3B_Fleisch'!J58=5,1,""))))))&amp;"g Fleisch weniger"</f>
        <v>0g Milchpr. weniger
0g Fleisch weniger</v>
      </c>
      <c r="H54" s="598">
        <f>IF('3B_Fleisch'!J58=1,'3B_Fleisch'!H62,(IF('3B_Fleisch'!J58=2,'3B_Fleisch'!H62,IF('3B_Fleisch'!J58=3,'3B_Fleisch'!H62,IF('3B_Fleisch'!J58=4,'3B_Fleisch'!H62,IF('3B_Fleisch'!J58=5,'3B_Fleisch'!H62,""))))))</f>
        <v>0</v>
      </c>
      <c r="I54" s="547" t="s">
        <v>319</v>
      </c>
      <c r="J54" s="275"/>
      <c r="K54" s="275"/>
      <c r="L54" s="279" t="str">
        <f>IF(ISNA(Rind_18)+ISNA(Kalb_18)+ISNA(Schwein_18)+ISNA(Gefluegel_18)+ISNA(Fisch_18)+ISNA(Tot_Milch_18)=6,"",IF(SUM('4_Berechnung'!D26:I26)=0,"",Tot_Milch_18&amp;"kg Milchpr. + "&amp;Rind_18+Kalb_18+Schwein_18+Gefluegel_18+Fisch_18&amp;"kg Fleisch"))</f>
        <v/>
      </c>
      <c r="M54" s="255"/>
      <c r="N54" s="341" t="str">
        <f t="shared" si="0"/>
        <v>Nicht Gewählt</v>
      </c>
      <c r="O54" s="379">
        <f>'3B_Fleisch'!J58</f>
        <v>1</v>
      </c>
      <c r="P54" s="152">
        <f>IFERROR(IF(AND(VALUE(LEFT($L$54,SEARCH("kg",$L$54)-1))&lt;=VALUE(LEFT($G$55,SEARCH("kg",$G$55)-1)),VALUE((MID($L$54,SEARCH("+ ",$L$54)+2,SEARCH("kg Fleisch",$L$54)-SEARCH("+ ",$L$54)-2)))&lt;=VALUE(MID($G$55,SEARCH("Milchpr. ",$G$55)+9,(SEARCH("kg Fleisch",$G$55)-SEARCH("Milchpr. ",$G$55)-9)))),1,0),0)</f>
        <v>0</v>
      </c>
      <c r="Q54" s="152" t="s">
        <v>313</v>
      </c>
    </row>
    <row r="55" spans="1:18" ht="60" customHeight="1">
      <c r="A55" s="177"/>
      <c r="B55" s="564"/>
      <c r="C55" s="594"/>
      <c r="D55" s="595"/>
      <c r="E55" s="570"/>
      <c r="F55" s="289" t="str">
        <f>no_total_1*LEFT(F54,SEARCH("g",F54)-1)/1000&amp;"kg Milchpr. "&amp;MID(F54,SEARCH("5",F54)-1,3)/1000*no_total_1&amp;"kg Fleisch"</f>
        <v>0kg Milchpr. 0kg Fleisch</v>
      </c>
      <c r="G55" s="289" t="str">
        <f>no_total_1*LEFT(F54,SEARCH("g",F54)-1)*IF('3B_Fleisch'!J58=1,1,(IF('3B_Fleisch'!J58=2,0.8,IF('3B_Fleisch'!J58=3,0.65,IF('3B_Fleisch'!J58=4,0.5,IF('3B_Fleisch'!J58=5,0,""))))))/1000&amp;"kg Milchpr. "&amp;MID(F54,SEARCH("5",F54)-1,3)*no_total_1*IF('3B_Fleisch'!J58=1,1,(IF('3B_Fleisch'!J58=2,0.8,IF('3B_Fleisch'!J58=3,0.65,IF('3B_Fleisch'!J58=4,0.5,IF('3B_Fleisch'!J58=5,0,""))))))/1000&amp;"kg Fleisch"</f>
        <v>0kg Milchpr. 0kg Fleisch</v>
      </c>
      <c r="H55" s="600"/>
      <c r="I55" s="548"/>
      <c r="J55" s="259"/>
      <c r="K55" s="259"/>
      <c r="L55" s="281" t="str">
        <f>IFERROR(IF(VALUE(LEFT(L54,SEARCH("kg",L54)-1))&lt;VALUE(LEFT(F55,SEARCH("kg",F55)-1)),"Reduktion Milchpr: "&amp;ROUND((1-(VALUE(LEFT(L54,SEARCH("kg",L54)-1))/VALUE(LEFT(F55,SEARCH("kg",F55)-1))))*100,2)&amp;"%",IF(VALUE(LEFT(L54,SEARCH("kg",L54)-1))&gt;VALUE(LEFT(F55,SEARCH("kg",F55)-1)),"Zunahme Milchpr.: "&amp;ROUND(((LEFT(L54,SEARCH("kg",L54)-1)/LEFT(F55,SEARCH("kg",F55)-1))-1)*100,2)&amp;"%","Keine Reduktion Milchpr."))&amp;CHAR(10)&amp;IF(VALUE(MID(L54,SEARCH("Milchpr. + ",L54)+11,(SEARCH("kg Fleisch",L54)-SEARCH("Milchpr. + ",L54)-11)))&lt;=VALUE(MID(F55,SEARCH("Milchpr. ",F55)+9,(SEARCH("kg Fleisch",F55)-SEARCH("Milchpr. ",F55)-9))),"Reduktion Fleisch: "&amp;ROUND((1-(VALUE(MID(L54,SEARCH("Milchpr. + ",L54)+11,(SEARCH("kg Fleisch",L54)-SEARCH("Milchpr. + ",L54)-11)))/VALUE(MID(F55,SEARCH("Milchpr. ",F55)+9,(SEARCH("kg Fleisch",F55)-SEARCH("Milchpr. ",F55)-9)))))*100,2)&amp;"%",IF(VALUE(VALUE(MID(L54,SEARCH("Milchpr. + ",L54)+11,(SEARCH("kg Fleisch",L54)-SEARCH("Milchpr. + ",L54)-11))))&gt;VALUE(MID(F55,SEARCH("Milchpr. ",F55)+9,(SEARCH("kg Fleisch",F55)-SEARCH("Milchpr. ",F55)-9))),"Zunahme Fleisch: "&amp;ROUND(((VALUE(MID(L54,SEARCH("Milchpr. + ",L54)+11,(SEARCH("kg Fleisch",L54)-SEARCH("Milchpr. + ",L54)-11)))/VALUE(MID(F55,SEARCH("Milchpr. ",F55)+9,(SEARCH("kg Fleisch",F55)-SEARCH("Milchpr. ",F55)-9))))-1)*100,2)&amp;"%","Keine Reduktion Fleisch")),"Keine Veränderung")</f>
        <v>Keine Veränderung</v>
      </c>
      <c r="M55" s="281" t="str">
        <f>IF(H54=0,"",IF(ISERROR(FIND("Zunahme",L55)),"Ja","Nein"))</f>
        <v/>
      </c>
      <c r="N55" s="342" t="str">
        <f t="shared" si="0"/>
        <v>Nicht Gewählt</v>
      </c>
      <c r="O55" s="379">
        <f>'3B_Fleisch'!J58</f>
        <v>1</v>
      </c>
      <c r="P55" s="152">
        <f>IFERROR(IF(AND(VALUE(LEFT($L$54,SEARCH("kg",$L$54)-1))&lt;=VALUE(LEFT($G$55,SEARCH("kg",$G$55)-1)),VALUE((MID($L$54,SEARCH("+ ",$L$54)+2,SEARCH("kg Fleisch",$L$54)-SEARCH("+ ",$L$54)-2)))&lt;=VALUE(MID($G$55,SEARCH("Milchpr. ",$G$55)+9,(SEARCH("kg Fleisch",$G$55)-SEARCH("Milchpr. ",$G$55)-9)))),1,0),0)</f>
        <v>0</v>
      </c>
      <c r="R55" s="353"/>
    </row>
    <row r="56" spans="1:18" ht="48.95" customHeight="1" thickBot="1">
      <c r="A56" s="177"/>
      <c r="B56" s="573">
        <v>19</v>
      </c>
      <c r="C56" s="592" t="s">
        <v>460</v>
      </c>
      <c r="D56" s="593"/>
      <c r="E56" s="584" t="str">
        <f>IF('3C_Transport, Gemüse, Bio'!I3=1,'3C_Transport, Gemüse, Bio'!D3,IF('3C_Transport, Gemüse, Bio'!I3=2,'3C_Transport, Gemüse, Bio'!D4,IF('3C_Transport, Gemüse, Bio'!I3=3,'3C_Transport, Gemüse, Bio'!D5,IF('3C_Transport, Gemüse, Bio'!I3=4,'3C_Transport, Gemüse, Bio'!D6,IF('3C_Transport, Gemüse, Bio'!I3=5,'3C_Transport, Gemüse, Bio'!D7)))))</f>
        <v>Vom gesamten Gemüseeinkauf sind weniger als 5% Surplus-Produkte</v>
      </c>
      <c r="F56" s="246" t="s">
        <v>343</v>
      </c>
      <c r="G56" s="601" t="str">
        <f>IF('3C_Transport, Gemüse, Bio'!I3=1,"Kein Surplus-Gemüse",IF('3C_Transport, Gemüse, Bio'!I3=2,"5% Surplus-Gemüse (mind.)",IF('3C_Transport, Gemüse, Bio'!I3=3,"10% Surplus-Gemüse (mind.)",IF('3C_Transport, Gemüse, Bio'!I3=4,"20% Surplus-Gemüse (mind.)",IF('3C_Transport, Gemüse, Bio'!I3=5,"40% Surplus-Gemüse (mind.","")))))</f>
        <v>Kein Surplus-Gemüse</v>
      </c>
      <c r="H56" s="598">
        <f>IF('3C_Transport, Gemüse, Bio'!I3=1,'3C_Transport, Gemüse, Bio'!H7,IF('3C_Transport, Gemüse, Bio'!I3=2,'3C_Transport, Gemüse, Bio'!H7,IF('3C_Transport, Gemüse, Bio'!I3=3,'3C_Transport, Gemüse, Bio'!H7,IF('3C_Transport, Gemüse, Bio'!I3=4,'3C_Transport, Gemüse, Bio'!H7,IF('3C_Transport, Gemüse, Bio'!I3=5,'3C_Transport, Gemüse, Bio'!H7,"")))))</f>
        <v>0</v>
      </c>
      <c r="I56" s="274" t="s">
        <v>344</v>
      </c>
      <c r="J56" s="275"/>
      <c r="K56" s="275"/>
      <c r="L56" s="258" t="str">
        <f>IF(ISNA(I57)=1,"",IF(SUM(I57)=0,"",SUM(I57) &amp; "%"))</f>
        <v/>
      </c>
      <c r="M56" s="255"/>
      <c r="N56" s="339" t="str">
        <f t="shared" si="0"/>
        <v>Nicht Gewählt</v>
      </c>
      <c r="O56" s="379">
        <f>'3C_Transport, Gemüse, Bio'!I3</f>
        <v>1</v>
      </c>
      <c r="P56" s="152">
        <f>IFERROR(IF(VALUE(LEFT($L$56,SEARCH("%",$L$56)-1))&gt;=VALUE(LEFT($G$56,SEARCH("%",$G$56)-1)),1,0),0)</f>
        <v>0</v>
      </c>
      <c r="Q56" s="152" t="s">
        <v>333</v>
      </c>
    </row>
    <row r="57" spans="1:18" ht="29.1" customHeight="1" thickBot="1">
      <c r="A57" s="177"/>
      <c r="B57" s="564"/>
      <c r="C57" s="594"/>
      <c r="D57" s="595"/>
      <c r="E57" s="570"/>
      <c r="F57" s="289" t="s">
        <v>334</v>
      </c>
      <c r="G57" s="602"/>
      <c r="H57" s="572"/>
      <c r="I57" s="253"/>
      <c r="J57" s="254"/>
      <c r="K57" s="259"/>
      <c r="L57" s="255" t="str">
        <f>IFERROR(IF(LEFT(L56,SEARCH("%",L56)-1)&gt;LEFT(F57,SEARCH("%",F57)-1),"Zunahme: "&amp;LEFT(L56,SEARCH("%",L56)-1)&amp;"%","Keine Zunahme"),"Keine Veränderung")</f>
        <v>Keine Veränderung</v>
      </c>
      <c r="M57" s="255" t="str">
        <f>IF(ISERROR(IF(VALUE(LEFT($L56,SEARCH($Q56,$L56)-1))&lt;VALUE(LEFT($G56,SEARCH($Q56,$G56)-1)),"Nein","Ja")),"",IF(VALUE(LEFT($L56,SEARCH($Q56,$L56)-1))&lt;VALUE(LEFT($G56,SEARCH($Q56,$G56)-1)),"Nein","Ja"))</f>
        <v/>
      </c>
      <c r="N57" s="338" t="str">
        <f t="shared" si="0"/>
        <v>Nicht Gewählt</v>
      </c>
      <c r="O57" s="379">
        <f>'3C_Transport, Gemüse, Bio'!I3</f>
        <v>1</v>
      </c>
      <c r="P57" s="152">
        <f>IFERROR(IF(VALUE(LEFT($L$56,SEARCH("%",$L$56)-1))&gt;=VALUE(LEFT($G$56,SEARCH("%",$G$56)-1)),1,0),0)</f>
        <v>0</v>
      </c>
    </row>
    <row r="58" spans="1:18" ht="44.25" customHeight="1" thickBot="1">
      <c r="A58" s="177"/>
      <c r="B58" s="573">
        <v>20</v>
      </c>
      <c r="C58" s="592" t="s">
        <v>178</v>
      </c>
      <c r="D58" s="593"/>
      <c r="E58" s="584" t="str">
        <f>IF('3C_Transport, Gemüse, Bio'!I8=1,'3C_Transport, Gemüse, Bio'!D8,IF('3C_Transport, Gemüse, Bio'!I8=2,'3C_Transport, Gemüse, Bio'!D9,IF('3C_Transport, Gemüse, Bio'!I8=3,'3C_Transport, Gemüse, Bio'!D10,IF('3C_Transport, Gemüse, Bio'!I8=4,'3C_Transport, Gemüse, Bio'!D11,IF('3C_Transport, Gemüse, Bio'!I8=5,'3C_Transport, Gemüse, Bio'!D12)))))</f>
        <v>Keine Reduktion</v>
      </c>
      <c r="F58" s="601" t="s">
        <v>345</v>
      </c>
      <c r="G58" s="601" t="str">
        <f>IF('3C_Transport, Gemüse, Bio'!I8=1,'3C_Transport, Gemüse, Bio'!E8,IF('3C_Transport, Gemüse, Bio'!I8=2,'3C_Transport, Gemüse, Bio'!E9,IF('3C_Transport, Gemüse, Bio'!I8=3,'3C_Transport, Gemüse, Bio'!E10,IF('3C_Transport, Gemüse, Bio'!I8=4,'3C_Transport, Gemüse, Bio'!E11,IF('3C_Transport, Gemüse, Bio'!I8=5,'3C_Transport, Gemüse, Bio'!E12,"")))))&amp;"% aus fossil beheizten Gewächshäusern"</f>
        <v>7% aus fossil beheizten Gewächshäusern</v>
      </c>
      <c r="H58" s="598">
        <f>IF('3C_Transport, Gemüse, Bio'!I8=1,'3C_Transport, Gemüse, Bio'!H12,IF('3C_Transport, Gemüse, Bio'!I8=2,'3C_Transport, Gemüse, Bio'!H12,IF('3C_Transport, Gemüse, Bio'!I8=3,'3C_Transport, Gemüse, Bio'!H12,IF('3C_Transport, Gemüse, Bio'!I8=4,'3C_Transport, Gemüse, Bio'!H12,IF('3C_Transport, Gemüse, Bio'!I8=5,'3C_Transport, Gemüse, Bio'!H12,"")))))</f>
        <v>0</v>
      </c>
      <c r="I58" s="549" t="s">
        <v>346</v>
      </c>
      <c r="J58" s="550"/>
      <c r="K58" s="275"/>
      <c r="L58" s="258" t="str">
        <f>IF(ISNA(I59)=1,"",IF(SUM(I59)=0,"",SUM(I59) &amp; "% aus fossil beheizten Gewächshäusern"))</f>
        <v/>
      </c>
      <c r="M58" s="255"/>
      <c r="N58" s="341" t="str">
        <f t="shared" si="0"/>
        <v>Nicht Gewählt</v>
      </c>
      <c r="O58" s="379">
        <f>'3C_Transport, Gemüse, Bio'!I8</f>
        <v>1</v>
      </c>
      <c r="P58" s="152">
        <f>IFERROR(IF(VALUE(LEFT($L$58,SEARCH("%",$L$58)-1))&lt;=VALUE(LEFT($G$58,SEARCH("%",$G$58)-1)),1,0),0)</f>
        <v>0</v>
      </c>
      <c r="Q58" s="152" t="s">
        <v>333</v>
      </c>
    </row>
    <row r="59" spans="1:18" ht="35.25" customHeight="1" thickBot="1">
      <c r="A59" s="177"/>
      <c r="B59" s="564"/>
      <c r="C59" s="594"/>
      <c r="D59" s="595"/>
      <c r="E59" s="570"/>
      <c r="F59" s="602"/>
      <c r="G59" s="602"/>
      <c r="H59" s="572"/>
      <c r="I59" s="551"/>
      <c r="J59" s="552"/>
      <c r="K59" s="254"/>
      <c r="L59" s="290" t="str">
        <f>IFERROR(IF(LEFT(L58,SEARCH("%",L58)-1)&gt;LEFT(F58,SEARCH("%",F58)-1),"Zunahme: "&amp;LEFT(L58,SEARCH("%",L58)-1)&amp;"%",IF(LEFT(L58,SEARCH("%",L58)-1)&lt;LEFT(F58,SEARCH("%",F58)-1),"Reduktion: "&amp;LEFT(F58,SEARCH("%",F58)-1)-LEFT(L58,SEARCH("%",L58)-1)&amp;"%","Keine Zunahme")),"Keine Veränderung")</f>
        <v>Keine Veränderung</v>
      </c>
      <c r="M59" s="255" t="str">
        <f>IF(ISERROR(IF(VALUE(LEFT($L58,SEARCH($Q58,$L58)-1))&gt;VALUE(LEFT($G58,SEARCH($Q58,$G58)-1)),"Nein","Ja")),"",IF(VALUE(LEFT($L58,SEARCH($Q58,$L58)-1))&gt;VALUE(LEFT($G58,SEARCH($Q58,$G58)-1)),"Nein","Ja"))</f>
        <v/>
      </c>
      <c r="N59" s="343" t="str">
        <f t="shared" si="0"/>
        <v>Nicht Gewählt</v>
      </c>
      <c r="O59" s="379">
        <f>'3C_Transport, Gemüse, Bio'!I8</f>
        <v>1</v>
      </c>
      <c r="P59" s="152">
        <f>IFERROR(IF(VALUE(LEFT($L$58,SEARCH("%",$L$58)-1))&lt;=VALUE(LEFT($G$58,SEARCH("%",$G$58)-1)),1,0),0)</f>
        <v>0</v>
      </c>
    </row>
    <row r="60" spans="1:18" ht="29.25" customHeight="1" thickBot="1">
      <c r="A60" s="177"/>
      <c r="B60" s="573">
        <v>21</v>
      </c>
      <c r="C60" s="592" t="s">
        <v>184</v>
      </c>
      <c r="D60" s="593"/>
      <c r="E60" s="584" t="str">
        <f>IF('3C_Transport, Gemüse, Bio'!I13=1,'3C_Transport, Gemüse, Bio'!D13,IF('3C_Transport, Gemüse, Bio'!I13=2,'3C_Transport, Gemüse, Bio'!D14,IF('3C_Transport, Gemüse, Bio'!I13=3,'3C_Transport, Gemüse, Bio'!D15,IF('3C_Transport, Gemüse, Bio'!I13=4,'3C_Transport, Gemüse, Bio'!D16,IF('3C_Transport, Gemüse, Bio'!I13=5,'3C_Transport, Gemüse, Bio'!D17)))))</f>
        <v>Keine Reduktion</v>
      </c>
      <c r="F60" s="246" t="s">
        <v>347</v>
      </c>
      <c r="G60" s="273" t="str">
        <f>IF('3C_Transport, Gemüse, Bio'!I13=1,'3C_Transport, Gemüse, Bio'!E13,IF('3C_Transport, Gemüse, Bio'!I13=2,'3C_Transport, Gemüse, Bio'!E14,IF('3C_Transport, Gemüse, Bio'!I13=3,'3C_Transport, Gemüse, Bio'!E15,IF('3C_Transport, Gemüse, Bio'!I13=4,'3C_Transport, Gemüse, Bio'!E16,IF('3C_Transport, Gemüse, Bio'!I13=5,'3C_Transport, Gemüse, Bio'!E17,"")))))&amp;"g Flugtransporte pro Menü"</f>
        <v>7g Flugtransporte pro Menü</v>
      </c>
      <c r="H60" s="598">
        <f>IF('3C_Transport, Gemüse, Bio'!I13=1,'3C_Transport, Gemüse, Bio'!H17,IF('3C_Transport, Gemüse, Bio'!I13=2,'3C_Transport, Gemüse, Bio'!H17,IF('3C_Transport, Gemüse, Bio'!I13=3,'3C_Transport, Gemüse, Bio'!H17,IF('3C_Transport, Gemüse, Bio'!I13=4,'3C_Transport, Gemüse, Bio'!H17,IF('3C_Transport, Gemüse, Bio'!I13=5,'3C_Transport, Gemüse, Bio'!H17,"")))))</f>
        <v>0</v>
      </c>
      <c r="I60" s="549" t="s">
        <v>348</v>
      </c>
      <c r="J60" s="553"/>
      <c r="K60" s="257"/>
      <c r="L60" s="258" t="str">
        <f>IF(ISNA(I61)=1,"",IF(SUM(I61)=0,"",SUM(I61) &amp; "kg"))</f>
        <v/>
      </c>
      <c r="M60" s="255"/>
      <c r="N60" s="344" t="str">
        <f t="shared" si="0"/>
        <v>Nicht Gewählt</v>
      </c>
      <c r="O60" s="379">
        <f>'3C_Transport, Gemüse, Bio'!I13</f>
        <v>1</v>
      </c>
      <c r="P60" s="152">
        <f>IFERROR(IF(VALUE(LEFT($L$60,SEARCH("kg",$L$60)-1))&lt;=VALUE(LEFT($G$61,SEARCH("kg",$G$61)-1)),1,0),0)</f>
        <v>0</v>
      </c>
      <c r="Q60" s="152" t="s">
        <v>313</v>
      </c>
    </row>
    <row r="61" spans="1:18" ht="21.75" customHeight="1" thickBot="1">
      <c r="A61" s="177"/>
      <c r="B61" s="564"/>
      <c r="C61" s="594"/>
      <c r="D61" s="595"/>
      <c r="E61" s="570"/>
      <c r="F61" s="289" t="str">
        <f>no_total_1*LEFT(F60,SEARCH("g",F60)-1)/1000&amp;"kg"</f>
        <v>0kg</v>
      </c>
      <c r="G61" s="289" t="str">
        <f>no_total_1*LEFT(F60,SEARCH("g",F60)-1)*(IF('3C_Transport, Gemüse, Bio'!I13=1,1,IF('3C_Transport, Gemüse, Bio'!I13=2,0.7,IF('3C_Transport, Gemüse, Bio'!I13=3,0.5,IF('3C_Transport, Gemüse, Bio'!I13=4,0.25,IF('3C_Transport, Gemüse, Bio'!I13=5,0,""))))))/1000&amp;"kg"</f>
        <v>0kg</v>
      </c>
      <c r="H61" s="572"/>
      <c r="I61" s="551"/>
      <c r="J61" s="552"/>
      <c r="K61" s="254"/>
      <c r="L61" s="255" t="str">
        <f>IFERROR(IF(VALUE(LEFT(L60,SEARCH("kg",L60)-1))&lt;VALUE(LEFT(F61,SEARCH("kg",F61)-1)),"Reduktion: "&amp;ROUND((1-(VALUE(LEFT(L60,SEARCH("kg",L60)-1))/VALUE(LEFT(F61,SEARCH("kg",F61)-1))))*100,2)&amp;"%",IF(VALUE(LEFT(L60,SEARCH("kg",L60)-1))&gt;VALUE(LEFT(F61,SEARCH("kg",F61)-1)),"Zunahme: "&amp;ROUND(((LEFT(L60,SEARCH("kg",L60)-1)/LEFT(F61,SEARCH("kg",F61)-1))-1)*100,2)&amp;"%","Keine Reduktion")),"Keine Veränderung")</f>
        <v>Keine Veränderung</v>
      </c>
      <c r="M61" s="255" t="str">
        <f>IF(ISERROR(IF(VALUE(LEFT($L60,SEARCH($Q60,$L60)-1))&gt;VALUE(LEFT($G61,SEARCH($Q60,$G61)-1)),"Nein","Ja")),"",IF(VALUE(LEFT($L60,SEARCH($Q60,$L60)-1))&gt;VALUE(LEFT($G61,SEARCH($Q60,$G61)-1)),"Nein","Ja"))</f>
        <v/>
      </c>
      <c r="N61" s="338" t="str">
        <f t="shared" si="0"/>
        <v>Nicht Gewählt</v>
      </c>
      <c r="O61" s="379">
        <f>'3C_Transport, Gemüse, Bio'!I13</f>
        <v>1</v>
      </c>
      <c r="P61" s="152">
        <f>IFERROR(IF(VALUE(LEFT($L$60,SEARCH("kg",$L$60)-1))&lt;=VALUE(LEFT($G$61,SEARCH("kg",$G$61)-1)),1,0),0)</f>
        <v>0</v>
      </c>
    </row>
    <row r="62" spans="1:18" ht="28.5" customHeight="1" thickBot="1">
      <c r="A62" s="177"/>
      <c r="B62" s="573">
        <v>22</v>
      </c>
      <c r="C62" s="592" t="s">
        <v>191</v>
      </c>
      <c r="D62" s="593"/>
      <c r="E62" s="584" t="str">
        <f>IF('3C_Transport, Gemüse, Bio'!I18=1,'3C_Transport, Gemüse, Bio'!D18,IF('3C_Transport, Gemüse, Bio'!I18=2,'3C_Transport, Gemüse, Bio'!D19,IF('3C_Transport, Gemüse, Bio'!I18=3,'3C_Transport, Gemüse, Bio'!D20,IF('3C_Transport, Gemüse, Bio'!I18=4,'3C_Transport, Gemüse, Bio'!D21,IF('3C_Transport, Gemüse, Bio'!I18=5,'3C_Transport, Gemüse, Bio'!D22)))))</f>
        <v>Keine Reduktion</v>
      </c>
      <c r="F62" s="601" t="s">
        <v>349</v>
      </c>
      <c r="G62" s="601" t="str">
        <f>IF('3C_Transport, Gemüse, Bio'!I18=1,"0% lokale Produkte",IF('3C_Transport, Gemüse, Bio'!I18=2,"10% weniger Transportwege",IF('3C_Transport, Gemüse, Bio'!I18=3,"20% weniger Transportwege",IF('3C_Transport, Gemüse, Bio'!I18=4,"40% weniger Transportwege",IF('3C_Transport, Gemüse, Bio'!I18=5,"60% weniger Transportwege","")))))</f>
        <v>0% lokale Produkte</v>
      </c>
      <c r="H62" s="598">
        <f>IF('3C_Transport, Gemüse, Bio'!I18=1,'3C_Transport, Gemüse, Bio'!H22,IF('3C_Transport, Gemüse, Bio'!I18=2,'3C_Transport, Gemüse, Bio'!H22,IF('3C_Transport, Gemüse, Bio'!I18=3,'3C_Transport, Gemüse, Bio'!H22,IF('3C_Transport, Gemüse, Bio'!I18=4,'3C_Transport, Gemüse, Bio'!H22,IF('3C_Transport, Gemüse, Bio'!I18=5,'3C_Transport, Gemüse, Bio'!H22,"")))))</f>
        <v>0</v>
      </c>
      <c r="I62" s="549" t="s">
        <v>395</v>
      </c>
      <c r="J62" s="553"/>
      <c r="K62" s="275"/>
      <c r="L62" s="258" t="str">
        <f>IF(ISNA(I63)=1,"",IF(SUM(I63)=0,"",SUM(I63) &amp; "% weniger Transportwege"))</f>
        <v/>
      </c>
      <c r="M62" s="255"/>
      <c r="N62" s="341" t="str">
        <f t="shared" si="0"/>
        <v>Nicht Gewählt</v>
      </c>
      <c r="O62" s="379">
        <f>'3C_Transport, Gemüse, Bio'!I18</f>
        <v>1</v>
      </c>
      <c r="P62" s="152">
        <f>IFERROR(IF(VALUE(LEFT($L$62,SEARCH("%",$L$62)-1))&gt;=VALUE(LEFT($G$62,SEARCH("%",$G$62)-1)),1,0),0)</f>
        <v>0</v>
      </c>
      <c r="Q62" s="152" t="s">
        <v>333</v>
      </c>
    </row>
    <row r="63" spans="1:18" ht="22.5" customHeight="1" thickBot="1">
      <c r="A63" s="177"/>
      <c r="B63" s="564"/>
      <c r="C63" s="594"/>
      <c r="D63" s="595"/>
      <c r="E63" s="570"/>
      <c r="F63" s="602"/>
      <c r="G63" s="602"/>
      <c r="H63" s="572"/>
      <c r="I63" s="551"/>
      <c r="J63" s="552"/>
      <c r="K63" s="254"/>
      <c r="L63" s="290" t="str">
        <f>IFERROR(IF(LEFT(L62,SEARCH("%",L62)-2)&gt;0,"Reduktion: "&amp;LEFT(L62,SEARCH("%",L62)-1)&amp;"%",""),"Keine Veränderung")</f>
        <v>Keine Veränderung</v>
      </c>
      <c r="M63" s="255" t="str">
        <f>IF(ISERROR(IF(VALUE(LEFT($L62,SEARCH($Q62,$L62)-1))&lt;VALUE(LEFT($G62,SEARCH($Q62,$G62)-1)),"Nein","Ja")),"",IF(VALUE(LEFT($L62,SEARCH($Q62,$L62)-1))&lt;VALUE(LEFT($G62,SEARCH($Q62,$G62)-1)),"Nein","Ja"))</f>
        <v/>
      </c>
      <c r="N63" s="343" t="str">
        <f t="shared" si="0"/>
        <v>Nicht Gewählt</v>
      </c>
      <c r="O63" s="379">
        <f>'3C_Transport, Gemüse, Bio'!I18</f>
        <v>1</v>
      </c>
      <c r="P63" s="152">
        <f>IFERROR(IF(VALUE(LEFT($L$62,SEARCH("%",$L$62)-1))&gt;VALUE(LEFT($G$62,SEARCH("%",$G$62)-1)),1,0),0)</f>
        <v>0</v>
      </c>
    </row>
    <row r="64" spans="1:18" ht="41.25" customHeight="1" thickBot="1">
      <c r="A64" s="177"/>
      <c r="B64" s="573">
        <v>23</v>
      </c>
      <c r="C64" s="592" t="s">
        <v>197</v>
      </c>
      <c r="D64" s="593"/>
      <c r="E64" s="584" t="str">
        <f>IF('3C_Transport, Gemüse, Bio'!I23=1,'3C_Transport, Gemüse, Bio'!D23,IF('3C_Transport, Gemüse, Bio'!I23=2,'3C_Transport, Gemüse, Bio'!D24,IF('3C_Transport, Gemüse, Bio'!I23=3,'3C_Transport, Gemüse, Bio'!D25,IF('3C_Transport, Gemüse, Bio'!I23=4,'3C_Transport, Gemüse, Bio'!D26,IF('3C_Transport, Gemüse, Bio'!I23=5,'3C_Transport, Gemüse, Bio'!D27)))))</f>
        <v>Weniger als 20% des Wareneinkaufs (pflanzliche Basis) stammt aus biologischer Produktion</v>
      </c>
      <c r="F64" s="601" t="s">
        <v>350</v>
      </c>
      <c r="G64" s="601" t="str">
        <f>IF('3C_Transport, Gemüse, Bio'!I23=1,"0% biologische Produktion",IF('3C_Transport, Gemüse, Bio'!I23=2,"20% biologische Produktion",IF('3C_Transport, Gemüse, Bio'!I23=3,"50% biologische Produktion",IF('3C_Transport, Gemüse, Bio'!I23=4,"75% biologische Produktion",IF('3C_Transport, Gemüse, Bio'!I23=5,"100% biologische Produktion","")))))</f>
        <v>0% biologische Produktion</v>
      </c>
      <c r="H64" s="598">
        <f>IF('3C_Transport, Gemüse, Bio'!I23=1,'3C_Transport, Gemüse, Bio'!H27,IF('3C_Transport, Gemüse, Bio'!I23=2,'3C_Transport, Gemüse, Bio'!H27,IF('3C_Transport, Gemüse, Bio'!I23=3,'3C_Transport, Gemüse, Bio'!H27,IF('3C_Transport, Gemüse, Bio'!I23=4,'3C_Transport, Gemüse, Bio'!H27,IF('3C_Transport, Gemüse, Bio'!I23=5,'3C_Transport, Gemüse, Bio'!H27,"")))))</f>
        <v>0</v>
      </c>
      <c r="I64" s="549" t="s">
        <v>351</v>
      </c>
      <c r="J64" s="553"/>
      <c r="K64" s="275"/>
      <c r="L64" s="258" t="str">
        <f>IF(ISNA(I65)=1,"",IF(SUM(I65)=0,"",SUM(I65) &amp; "% aus biolog. Produktion"))</f>
        <v/>
      </c>
      <c r="M64" s="255"/>
      <c r="N64" s="341" t="str">
        <f t="shared" si="0"/>
        <v>Nicht Gewählt</v>
      </c>
      <c r="O64" s="379">
        <f>'3C_Transport, Gemüse, Bio'!I23</f>
        <v>1</v>
      </c>
      <c r="P64" s="152">
        <f>IFERROR(IF(VALUE(LEFT($L$64,SEARCH("%",$L$64)-1))&gt;VALUE(LEFT($G$64,SEARCH("%",$G$64)-1)),1,0),0)</f>
        <v>0</v>
      </c>
      <c r="Q64" s="152" t="s">
        <v>333</v>
      </c>
    </row>
    <row r="65" spans="1:17" ht="37.35" customHeight="1" thickBot="1">
      <c r="A65" s="177"/>
      <c r="B65" s="564"/>
      <c r="C65" s="594"/>
      <c r="D65" s="595"/>
      <c r="E65" s="570"/>
      <c r="F65" s="602"/>
      <c r="G65" s="602"/>
      <c r="H65" s="572"/>
      <c r="I65" s="559"/>
      <c r="J65" s="560"/>
      <c r="K65" s="254"/>
      <c r="L65" s="290" t="str">
        <f>IFERROR(IF(LEFT(L64,SEARCH("%",L64)-2)&gt;0,"Reduktion: "&amp;LEFT(L64,SEARCH("%",L64)-1)&amp;"%",""),"Keine Veränderung")</f>
        <v>Keine Veränderung</v>
      </c>
      <c r="M65" s="255" t="str">
        <f>IF(ISERROR(IF(VALUE(LEFT($L64,SEARCH($Q64,$L64)-1))&lt;VALUE(LEFT($G64,SEARCH($Q64,$G64)-1)),"Nein","Ja")),"",IF(VALUE(LEFT($L64,SEARCH($Q64,$L64)-1))&lt;VALUE(LEFT($G64,SEARCH($Q64,$G64)-1)),"Nein","Ja"))</f>
        <v/>
      </c>
      <c r="N65" s="343" t="str">
        <f t="shared" si="0"/>
        <v>Nicht Gewählt</v>
      </c>
      <c r="O65" s="379">
        <f>'3C_Transport, Gemüse, Bio'!I23</f>
        <v>1</v>
      </c>
      <c r="P65" s="152">
        <f>IFERROR(IF(VALUE(LEFT($L$64,SEARCH("%",$L$64)-1))&gt;=VALUE(LEFT($G$64,SEARCH("%",$G$64)-1)),1,0),0)</f>
        <v>0</v>
      </c>
    </row>
    <row r="66" spans="1:17" ht="37.5" customHeight="1" thickBot="1">
      <c r="A66" s="177"/>
      <c r="B66" s="573">
        <v>24</v>
      </c>
      <c r="C66" s="592" t="s">
        <v>462</v>
      </c>
      <c r="D66" s="593"/>
      <c r="E66" s="584" t="str">
        <f>IF('3C_Transport, Gemüse, Bio'!I28=1,'3C_Transport, Gemüse, Bio'!D28,IF('3C_Transport, Gemüse, Bio'!I28=2,'3C_Transport, Gemüse, Bio'!D29,IF('3C_Transport, Gemüse, Bio'!I28=3,'3C_Transport, Gemüse, Bio'!D30,IF('3C_Transport, Gemüse, Bio'!I28=4,'3C_Transport, Gemüse, Bio'!D31,IF('3C_Transport, Gemüse, Bio'!I28=5,'3C_Transport, Gemüse, Bio'!D32)))))</f>
        <v>Weniger als 25% zertifiziertes Soja oder Soja aus nicht kritischen Regionen</v>
      </c>
      <c r="F66" s="601" t="s">
        <v>352</v>
      </c>
      <c r="G66" s="601" t="str">
        <f>IF('3C_Transport, Gemüse, Bio'!I28=1,"0% mehr zertifiziertes/nicht-kritisches Soja",IF('3C_Transport, Gemüse, Bio'!I28=2,"11% des Fleischs (max.) stammt aus ausländischer Produktion",IF('3C_Transport, Gemüse, Bio'!I28=3,"8% des Fleischs (max.) stammt aus ausländischer Produktion",IF('3C_Transport, Gemüse, Bio'!I28=4,"4% des Fleischs (max.) stammt aus ausländischer Produktion",IF('3C_Transport, Gemüse, Bio'!I28=5,"0% Fleisch aus ausländischer Produktion","")))))</f>
        <v>0% mehr zertifiziertes/nicht-kritisches Soja</v>
      </c>
      <c r="H66" s="598">
        <f>IF('3C_Transport, Gemüse, Bio'!I28=1,'3C_Transport, Gemüse, Bio'!H32,IF('3C_Transport, Gemüse, Bio'!I28=2,'3C_Transport, Gemüse, Bio'!H32,IF('3C_Transport, Gemüse, Bio'!I28=3,'3C_Transport, Gemüse, Bio'!H32,IF('3C_Transport, Gemüse, Bio'!I28=4,'3C_Transport, Gemüse, Bio'!H32,IF('3C_Transport, Gemüse, Bio'!I28=5,'3C_Transport, Gemüse, Bio'!H32,"")))))</f>
        <v>0</v>
      </c>
      <c r="I66" s="549" t="s">
        <v>353</v>
      </c>
      <c r="J66" s="553"/>
      <c r="K66" s="275"/>
      <c r="L66" s="258" t="str">
        <f>IF(ISNA(I67)=1,"",IF(SUM(I67)=0,"",SUM(I67) &amp; "% Anteil ausländisches Fleisch"))</f>
        <v/>
      </c>
      <c r="M66" s="255"/>
      <c r="N66" s="341" t="str">
        <f t="shared" si="0"/>
        <v>Nicht Gewählt</v>
      </c>
      <c r="O66" s="379">
        <f>'3C_Transport, Gemüse, Bio'!I28</f>
        <v>1</v>
      </c>
      <c r="P66" s="152">
        <f>IFERROR(IF(VALUE(LEFT($L$66,SEARCH("%",$L$66)-1))&lt;=VALUE(LEFT($G$66,SEARCH("%",$G$66)-1)),1,0),0)</f>
        <v>0</v>
      </c>
      <c r="Q66" s="152" t="s">
        <v>333</v>
      </c>
    </row>
    <row r="67" spans="1:17" ht="37.5" customHeight="1" thickBot="1">
      <c r="A67" s="177"/>
      <c r="B67" s="564"/>
      <c r="C67" s="594"/>
      <c r="D67" s="595"/>
      <c r="E67" s="570"/>
      <c r="F67" s="602"/>
      <c r="G67" s="602"/>
      <c r="H67" s="572"/>
      <c r="I67" s="551"/>
      <c r="J67" s="552"/>
      <c r="K67" s="254"/>
      <c r="L67" s="290" t="str">
        <f>IFERROR(IF(LEFT(L66,SEARCH("%",L66)-2)&gt;0,"Reduktion: "&amp;LEFT(L66,SEARCH("%",L66)-1)&amp;"%",""),"Keine Veränderung")</f>
        <v>Keine Veränderung</v>
      </c>
      <c r="M67" s="255" t="str">
        <f>IF(ISERROR(IF(VALUE(LEFT($L66,SEARCH($Q66,$L66)-1))&gt;VALUE(LEFT($G66,SEARCH($Q66,$G66)-1)),"Nein","Ja")),"",IF(VALUE(LEFT($L66,SEARCH($Q66,$L66)-1))&gt;VALUE(LEFT($G66,SEARCH($Q66,$G66)-1)),"Nein","Ja"))</f>
        <v/>
      </c>
      <c r="N67" s="343" t="str">
        <f t="shared" si="0"/>
        <v>Nicht Gewählt</v>
      </c>
      <c r="O67" s="379">
        <f>'3C_Transport, Gemüse, Bio'!I28</f>
        <v>1</v>
      </c>
      <c r="P67" s="152">
        <f>IFERROR(IF(VALUE(LEFT($L$66,SEARCH("%",$L$66)-1))&lt;=VALUE(LEFT($G$66,SEARCH("%",$G$66)-1)),1,0),0)</f>
        <v>0</v>
      </c>
    </row>
    <row r="68" spans="1:17" ht="41.25" customHeight="1" thickBot="1">
      <c r="A68" s="177"/>
      <c r="B68" s="573">
        <v>25</v>
      </c>
      <c r="C68" s="592" t="s">
        <v>220</v>
      </c>
      <c r="D68" s="593"/>
      <c r="E68" s="584" t="str">
        <f>IF('3D_Menüzusammensetzung'!I3=1,'3D_Menüzusammensetzung'!D3,IF('3D_Menüzusammensetzung'!I3=2,'3D_Menüzusammensetzung'!D4,IF('3D_Menüzusammensetzung'!I3=3,'3D_Menüzusammensetzung'!D5,IF('3D_Menüzusammensetzung'!I3=4,'3D_Menüzusammensetzung'!D6,IF('3D_Menüzusammensetzung'!I3=5,'3D_Menüzusammensetzung'!D7,"")))))</f>
        <v>Verwendung von 1g Nüsse und Samen pro Menü (Baseline)</v>
      </c>
      <c r="F68" s="247" t="s">
        <v>354</v>
      </c>
      <c r="G68" s="248" t="str">
        <f>IF('3D_Menüzusammensetzung'!I3=1,"Keine zusätzliche Nüsse",IF('3D_Menüzusammensetzung'!I3=2,"Möglichkeit zu mehr Nüssen",IF('3D_Menüzusammensetzung'!I3=3,"Weitere Massnahme für mehr Nüsse",IF('3D_Menüzusammensetzung'!I3=4,"19g mehr Nüsse &amp; Samen pro Menü",IF('3D_Menüzusammensetzung'!I3=5,"24g mehr Nüsse &amp; Samen pro Menü","")))))</f>
        <v>Keine zusätzliche Nüsse</v>
      </c>
      <c r="H68" s="598">
        <f>IF('3D_Menüzusammensetzung'!I3=1,'3D_Menüzusammensetzung'!H7,IF('3D_Menüzusammensetzung'!I3=2,'3D_Menüzusammensetzung'!H7,IF('3D_Menüzusammensetzung'!I3=3,'3D_Menüzusammensetzung'!H7,IF('3D_Menüzusammensetzung'!I3=4,'3D_Menüzusammensetzung'!H7,IF('3D_Menüzusammensetzung'!I3=5,'3D_Menüzusammensetzung'!H7,"")))))</f>
        <v>0</v>
      </c>
      <c r="I68" s="256" t="s">
        <v>355</v>
      </c>
      <c r="J68" s="257"/>
      <c r="K68" s="257"/>
      <c r="L68" s="258" t="str">
        <f>IF(ISNA(I69)=1,"",IF(SUM(I69)=0,"",SUM(I69) &amp; "kg"))</f>
        <v/>
      </c>
      <c r="M68" s="255"/>
      <c r="N68" s="349" t="str">
        <f t="shared" si="0"/>
        <v>Nicht Gewählt</v>
      </c>
      <c r="O68" s="379">
        <f>'3D_Menüzusammensetzung'!I3</f>
        <v>1</v>
      </c>
      <c r="P68" s="152">
        <f>IFERROR(IF(VALUE(LEFT($L$68,SEARCH("kg",$L$68)-1))&gt;=VALUE(LEFT($G$69,SEARCH("kg",$G$69)-1)),1,0),0)</f>
        <v>0</v>
      </c>
      <c r="Q68" s="152" t="s">
        <v>313</v>
      </c>
    </row>
    <row r="69" spans="1:17" ht="41.25" customHeight="1" thickBot="1">
      <c r="A69" s="177"/>
      <c r="B69" s="564"/>
      <c r="C69" s="594"/>
      <c r="D69" s="595"/>
      <c r="E69" s="570"/>
      <c r="F69" s="289" t="str">
        <f>no_total_1*LEFT(F68,SEARCH("g",F68)-1)/1000&amp;"kg"</f>
        <v>0kg</v>
      </c>
      <c r="G69" s="245" t="str">
        <f>IF('3D_Menüzusammensetzung'!I3=1,1,IF('3D_Menüzusammensetzung'!I3=2,5,IF('3D_Menüzusammensetzung'!I3=3,15,IF('3D_Menüzusammensetzung'!I3=4,20,IF('3D_Menüzusammensetzung'!I3=5,25)))))/1000*no_total_1&amp;"kg"</f>
        <v>0kg</v>
      </c>
      <c r="H69" s="572"/>
      <c r="I69" s="253"/>
      <c r="J69" s="254"/>
      <c r="K69" s="259"/>
      <c r="L69" s="255" t="str">
        <f>IFERROR(IF(VALUE(LEFT(L68,SEARCH("kg",L68)-1))&lt;VALUE(LEFT(F69,SEARCH("kg",F69)-1)),"Reduktion: "&amp;ROUND((1-(VALUE(LEFT(L68,SEARCH("kg",L68)-1))/VALUE(LEFT(F69,SEARCH("kg",F69)-1))))*100,2)&amp;"%",IF(VALUE(LEFT(L68,SEARCH("kg",L68)-1))&gt;VALUE(LEFT(F69,SEARCH("kg",F69)-1)),"Zunahme: "&amp;ROUND(((LEFT(L68,SEARCH("kg",L68)-1)/LEFT(F69,SEARCH("kg",F69)-1))-1)*100,2)&amp;"%","Keine Reduktion")),"Keine Veränderung")</f>
        <v>Keine Veränderung</v>
      </c>
      <c r="M69" s="255" t="str">
        <f>IF(ISERROR(IF(VALUE(LEFT($L68,SEARCH($Q68,$L68)-1))&lt;VALUE(LEFT($G69,SEARCH($Q68,$G69)-1)),"Nein","Ja")),"",IF(VALUE(LEFT($L68,SEARCH($Q68,$L68)-1))&lt;VALUE(LEFT($G69,SEARCH($Q68,$G69)-1)),"Nein","Ja"))</f>
        <v/>
      </c>
      <c r="N69" s="338" t="str">
        <f t="shared" si="0"/>
        <v>Nicht Gewählt</v>
      </c>
      <c r="O69" s="379">
        <f>'3D_Menüzusammensetzung'!I3</f>
        <v>1</v>
      </c>
      <c r="P69" s="152">
        <f>IFERROR(IF(VALUE(LEFT($L$68,SEARCH("kg",$L$68)-1))&gt;=VALUE(LEFT($G$69,SEARCH("kg",$G$69)-1)),1,0),0)</f>
        <v>0</v>
      </c>
    </row>
    <row r="70" spans="1:17" ht="41.25" customHeight="1" thickBot="1">
      <c r="A70" s="177"/>
      <c r="B70" s="573">
        <v>26</v>
      </c>
      <c r="C70" s="592" t="s">
        <v>228</v>
      </c>
      <c r="D70" s="593"/>
      <c r="E70" s="584" t="str">
        <f>IF('3D_Menüzusammensetzung'!I8=1,'3D_Menüzusammensetzung'!D8,IF('3D_Menüzusammensetzung'!I8=2,'3D_Menüzusammensetzung'!D9,IF('3D_Menüzusammensetzung'!I8=3,'3D_Menüzusammensetzung'!D10,IF('3D_Menüzusammensetzung'!I8=4,'3D_Menüzusammensetzung'!D11,IF('3D_Menüzusammensetzung'!I8=5,'3D_Menüzusammensetzung'!D12,"")))))</f>
        <v>Weniger als 30% des Proteineinkaufs sind Hülsenfrüchte</v>
      </c>
      <c r="F70" s="603" t="s">
        <v>356</v>
      </c>
      <c r="G70" s="584" t="str">
        <f>IF('3D_Menüzusammensetzung'!I8=1,"25% Hülsenfrüchte als Proteinquelle",IF('3D_Menüzusammensetzung'!I8=2,"30% Hülsenfrüchte als Proteinquelle",IF('3D_Menüzusammensetzung'!I8=3,"36% Hülsenfrüchte als Proteinquelle",IF('3D_Menüzusammensetzung'!I8=4,"45% Hülsenfrüchte als Proteinquelle",IF('3D_Menüzusammensetzung'!I8=5,"50% Hülsenfrüchte als Proteinquelle","")))))</f>
        <v>25% Hülsenfrüchte als Proteinquelle</v>
      </c>
      <c r="H70" s="598">
        <f>IF('3D_Menüzusammensetzung'!I8=1,'3D_Menüzusammensetzung'!H12,IF('3D_Menüzusammensetzung'!I8=2,'3D_Menüzusammensetzung'!H12,IF('3D_Menüzusammensetzung'!I8=3,'3D_Menüzusammensetzung'!H12,IF('3D_Menüzusammensetzung'!I8=4,'3D_Menüzusammensetzung'!H12,IF('3D_Menüzusammensetzung'!I8=5,'3D_Menüzusammensetzung'!H12,"")))))</f>
        <v>0</v>
      </c>
      <c r="I70" s="549" t="s">
        <v>357</v>
      </c>
      <c r="J70" s="550"/>
      <c r="K70" s="257"/>
      <c r="L70" s="258" t="str">
        <f>IF(ISNA(I71)=1,"",IF(SUM(I71)=0,"",SUM(I71) &amp; "%"))</f>
        <v/>
      </c>
      <c r="M70" s="255"/>
      <c r="N70" s="349" t="str">
        <f t="shared" si="0"/>
        <v>Nicht Gewählt</v>
      </c>
      <c r="O70" s="379">
        <f>'3D_Menüzusammensetzung'!I8</f>
        <v>1</v>
      </c>
      <c r="P70" s="152">
        <f>IFERROR(IF(VALUE(LEFT($L$70,SEARCH("%",$L$70)-1))&gt;=VALUE(LEFT($G$70,SEARCH("%",$G$70)-1)),1,0),0)</f>
        <v>0</v>
      </c>
      <c r="Q70" s="152" t="s">
        <v>333</v>
      </c>
    </row>
    <row r="71" spans="1:17" ht="41.25" customHeight="1" thickBot="1">
      <c r="A71" s="177"/>
      <c r="B71" s="564"/>
      <c r="C71" s="594"/>
      <c r="D71" s="595"/>
      <c r="E71" s="570"/>
      <c r="F71" s="603"/>
      <c r="G71" s="570"/>
      <c r="H71" s="572"/>
      <c r="I71" s="551"/>
      <c r="J71" s="552"/>
      <c r="K71" s="254"/>
      <c r="L71" s="255" t="str">
        <f>IFERROR(IF(LEFT(L70,SEARCH("%",L70)-1)&gt;MID(F70,SEARCH(": ",F70)+2,SEARCH("%",F70)-SEARCH(": ",F70)-2),"Zunahme: "&amp;(LEFT(L70,SEARCH("%",L70)-1)-MID(F70,SEARCH(": ",F70)+2,SEARCH("%",F70)-SEARCH(": ",F70)-2))&amp;"%",IF(LEFT(L70,SEARCH("%",L70)-1)&lt;MID(F70,SEARCH(": ",F70)+2,SEARCH("%",F70)-SEARCH(": ",F70)-2),"Reduktion: "&amp;(MID(F70,SEARCH(": ",F70)+2,SEARCH("%",F70)-SEARCH(": ",F70)-2)-LEFT(L70,SEARCH("%",L70)-1))&amp;"%", "Keine Reduktion")),"Keine Veränderung")</f>
        <v>Keine Veränderung</v>
      </c>
      <c r="M71" s="255" t="str">
        <f>IF(ISERROR(IF(VALUE(LEFT($L70,SEARCH($Q70,$L70)-1))&lt;VALUE(LEFT($G70,SEARCH($Q70,$G70)-1)),"Nein","Ja")),"",IF(VALUE(LEFT($L70,SEARCH($Q70,$L70)-1))&lt;VALUE(LEFT($G70,SEARCH($Q70,$G70)-1)),"Nein","Ja"))</f>
        <v/>
      </c>
      <c r="N71" s="338" t="str">
        <f t="shared" si="0"/>
        <v>Nicht Gewählt</v>
      </c>
      <c r="O71" s="379">
        <f>'3D_Menüzusammensetzung'!I8</f>
        <v>1</v>
      </c>
      <c r="P71" s="152">
        <f>IFERROR(IF(VALUE(LEFT($L$70,SEARCH("%",$L$70)-1))&gt;=VALUE(LEFT($G$70,SEARCH("%",$G$70)-1)),1,0),0)</f>
        <v>0</v>
      </c>
    </row>
    <row r="72" spans="1:17" ht="34.5" customHeight="1" thickBot="1">
      <c r="A72" s="177"/>
      <c r="B72" s="573">
        <v>27</v>
      </c>
      <c r="C72" s="592" t="s">
        <v>235</v>
      </c>
      <c r="D72" s="593"/>
      <c r="E72" s="584" t="str">
        <f>IF('3D_Menüzusammensetzung'!I13=1,'3D_Menüzusammensetzung'!D13,IF('3D_Menüzusammensetzung'!I13=2,'3D_Menüzusammensetzung'!D14,IF('3D_Menüzusammensetzung'!I13=3,'3D_Menüzusammensetzung'!D15,IF('3D_Menüzusammensetzung'!I13=4,'3D_Menüzusammensetzung'!D16,IF('3D_Menüzusammensetzung'!I13=5,'3D_Menüzusammensetzung'!D17,"")))))</f>
        <v>Keine Erhöhung des Gemüseanteils pro Menü</v>
      </c>
      <c r="F72" s="246" t="s">
        <v>358</v>
      </c>
      <c r="G72" s="246" t="str">
        <f>IF('3D_Menüzusammensetzung'!I13=1,"0g mehr Gemüse pro Menu",IF('3D_Menüzusammensetzung'!I13=2,"20g mehr Gemüse pro Menu",IF('3D_Menüzusammensetzung'!I13=3,"50g mehr Gemüse pro Menu",IF('3D_Menüzusammensetzung'!I13=4,"80g mehr Gemüse pro Menu",IF('3D_Menüzusammensetzung'!I13=5,"110g mehr Gemüse pro Menu","")))))</f>
        <v>0g mehr Gemüse pro Menu</v>
      </c>
      <c r="H72" s="598">
        <f>IF('3D_Menüzusammensetzung'!I13=1,'3D_Menüzusammensetzung'!H17,IF('3D_Menüzusammensetzung'!I13=2,'3D_Menüzusammensetzung'!H17,IF('3D_Menüzusammensetzung'!I13=3,'3D_Menüzusammensetzung'!H17,IF('3D_Menüzusammensetzung'!I13=4,'3D_Menüzusammensetzung'!H17,IF('3D_Menüzusammensetzung'!I13=5,'3D_Menüzusammensetzung'!H17,"")))))</f>
        <v>0</v>
      </c>
      <c r="I72" s="256" t="s">
        <v>359</v>
      </c>
      <c r="J72" s="257"/>
      <c r="K72" s="257"/>
      <c r="L72" s="258" t="str">
        <f>IF(ISNA(I73)=1,"",IF(SUM(I73)=0,"",SUM(I73) &amp; "kg"))</f>
        <v/>
      </c>
      <c r="M72" s="255"/>
      <c r="N72" s="337" t="str">
        <f t="shared" si="0"/>
        <v>Nicht Gewählt</v>
      </c>
      <c r="O72" s="379">
        <f>'3D_Menüzusammensetzung'!I13</f>
        <v>1</v>
      </c>
      <c r="P72" s="152">
        <f>IFERROR(IF(VALUE(LEFT($L$72,SEARCH("kg",$L$72)-1))&gt;=VALUE(LEFT($G$73,SEARCH("kg",$G$73)-1)),1,0),0)</f>
        <v>0</v>
      </c>
      <c r="Q72" s="152" t="s">
        <v>313</v>
      </c>
    </row>
    <row r="73" spans="1:17" ht="34.5" customHeight="1" thickBot="1">
      <c r="A73" s="177"/>
      <c r="B73" s="564"/>
      <c r="C73" s="594"/>
      <c r="D73" s="595"/>
      <c r="E73" s="570"/>
      <c r="F73" s="289" t="str">
        <f>no_total_1*LEFT(F72,SEARCH("g",F72)-1)/1000&amp;"kg"</f>
        <v>0kg</v>
      </c>
      <c r="G73" s="289" t="str">
        <f>no_total_1*(100+LEFT(G72,SEARCH("g",G72)-1))/1000&amp;"kg"</f>
        <v>0kg</v>
      </c>
      <c r="H73" s="572"/>
      <c r="I73" s="253"/>
      <c r="J73" s="254"/>
      <c r="K73" s="259"/>
      <c r="L73" s="255" t="str">
        <f>IFERROR(IF(VALUE(LEFT(L72,SEARCH("kg",L72)-1))&lt;VALUE(LEFT(F73,SEARCH("kg",F73)-1)),"Reduktion: "&amp;ROUND((1-(VALUE(LEFT(L72,SEARCH("kg",L72)-1))/VALUE(LEFT(F73,SEARCH("kg",F73)-1))))*100,2)&amp;"%",IF(VALUE(LEFT(L72,SEARCH("kg",L72)-1))&gt;VALUE(LEFT(F73,SEARCH("kg",F73)-1)),"Zunahme: "&amp;ROUND(((LEFT(L72,SEARCH("kg",L72)-1)/LEFT(F73,SEARCH("kg",F73)-1))-1)*100,2)&amp;"%","Keine Reduktion")),"Keine Veränderung")</f>
        <v>Keine Veränderung</v>
      </c>
      <c r="M73" s="255" t="str">
        <f>IF(ISERROR(IF(VALUE(LEFT($L72,SEARCH($Q72,$L72)-1))&lt;VALUE(LEFT($G73,SEARCH($Q72,$G73)-1)),"Nein","Ja")),"",IF(VALUE(LEFT($L72,SEARCH($Q72,$L72)-1))&lt;VALUE(LEFT($G73,SEARCH($Q72,$G73)-1)),"Nein","Ja"))</f>
        <v/>
      </c>
      <c r="N73" s="338" t="str">
        <f t="shared" si="0"/>
        <v>Nicht Gewählt</v>
      </c>
      <c r="O73" s="379">
        <f>'3D_Menüzusammensetzung'!I13</f>
        <v>1</v>
      </c>
      <c r="P73" s="152">
        <f>IFERROR(IF(VALUE(LEFT($L$72,SEARCH("kg",$L$72)-1))&gt;=VALUE(LEFT($G$73,SEARCH("kg",$G$73)-1)),1,0),0)</f>
        <v>0</v>
      </c>
    </row>
    <row r="74" spans="1:17" ht="32.1" customHeight="1" thickBot="1">
      <c r="A74" s="177"/>
      <c r="B74" s="573">
        <v>28</v>
      </c>
      <c r="C74" s="592" t="s">
        <v>242</v>
      </c>
      <c r="D74" s="593"/>
      <c r="E74" s="584" t="str">
        <f>IF('3D_Menüzusammensetzung'!I18=1,'3D_Menüzusammensetzung'!D18,IF('3D_Menüzusammensetzung'!I18=2,'3D_Menüzusammensetzung'!D19,IF('3D_Menüzusammensetzung'!I18=3,'3D_Menüzusammensetzung'!D20,IF('3D_Menüzusammensetzung'!I18=4,'3D_Menüzusammensetzung'!D21,IF('3D_Menüzusammensetzung'!I18=5,'3D_Menüzusammensetzung'!D22,"")))))</f>
        <v>Keine Reduktion</v>
      </c>
      <c r="F74" s="246" t="s">
        <v>360</v>
      </c>
      <c r="G74" s="246" t="str">
        <f>LEFT(F74,2)-IF('3D_Menüzusammensetzung'!I18=1,'3D_Menüzusammensetzung'!E18,IF('3D_Menüzusammensetzung'!I18=2,'3D_Menüzusammensetzung'!E19,IF('3D_Menüzusammensetzung'!I18=3,'3D_Menüzusammensetzung'!E20,IF('3D_Menüzusammensetzung'!I18=4,'3D_Menüzusammensetzung'!E21,IF('3D_Menüzusammensetzung'!I18=5,'3D_Menüzusammensetzung'!E22,"")))))&amp;"g pro Menu weniger"</f>
        <v>0g pro Menu weniger</v>
      </c>
      <c r="H74" s="598">
        <f>IF('3D_Menüzusammensetzung'!I18=1,'3D_Menüzusammensetzung'!H22,IF('3D_Menüzusammensetzung'!I18=2,'3D_Menüzusammensetzung'!H22,IF('3D_Menüzusammensetzung'!I18=3,'3D_Menüzusammensetzung'!H22,IF('3D_Menüzusammensetzung'!I18=4,'3D_Menüzusammensetzung'!H22,IF('3D_Menüzusammensetzung'!I18=5,'3D_Menüzusammensetzung'!H22,"")))))</f>
        <v>0</v>
      </c>
      <c r="I74" s="268" t="s">
        <v>361</v>
      </c>
      <c r="J74" s="275"/>
      <c r="K74" s="275"/>
      <c r="L74" s="258" t="str">
        <f>IF(ISNA(I75)=1,"",IF(SUM(I75)=0,"",SUM(I75) &amp; "kg"))</f>
        <v/>
      </c>
      <c r="M74" s="255"/>
      <c r="N74" s="339" t="str">
        <f t="shared" si="0"/>
        <v>Nicht Gewählt</v>
      </c>
      <c r="O74" s="379">
        <f>'3D_Menüzusammensetzung'!I18</f>
        <v>1</v>
      </c>
      <c r="P74" s="152">
        <f>IFERROR(IF(VALUE(LEFT($L$74,SEARCH("kg",$L$74)-1))&lt;=VALUE(LEFT($G$75,SEARCH("kg",$G$75)-1)),1,0),0)</f>
        <v>0</v>
      </c>
      <c r="Q74" s="152" t="s">
        <v>313</v>
      </c>
    </row>
    <row r="75" spans="1:17" ht="27.75" customHeight="1" thickBot="1">
      <c r="A75" s="177"/>
      <c r="B75" s="564"/>
      <c r="C75" s="594"/>
      <c r="D75" s="595"/>
      <c r="E75" s="570"/>
      <c r="F75" s="289" t="str">
        <f>no_total_1*LEFT(F74,SEARCH("g",F74)-1)/1000&amp;"kg"</f>
        <v>0kg</v>
      </c>
      <c r="G75" s="289" t="str">
        <f>no_total_1*(LEFT(F74,SEARCH("g",F74)-1)-LEFT(G74,SEARCH("g",G74)-1))/1000&amp;"kg"</f>
        <v>0kg</v>
      </c>
      <c r="H75" s="572"/>
      <c r="I75" s="262"/>
      <c r="J75" s="254"/>
      <c r="K75" s="259"/>
      <c r="L75" s="255" t="str">
        <f>IFERROR(IF(VALUE(LEFT(L74,SEARCH("kg",L74)-1))&lt;VALUE(LEFT(F75,SEARCH("kg",F75)-1)),"Reduktion: "&amp;ROUND((1-(VALUE(LEFT(L74,SEARCH("kg",L74)-1))/VALUE(LEFT(F75,SEARCH("kg",F75)-1))))*100,2)&amp;"%",IF(VALUE(LEFT(L74,SEARCH("kg",L74)-1))&gt;VALUE(LEFT(F75,SEARCH("kg",F75)-1)),"Zunahme: "&amp;ROUND(((LEFT(L74,SEARCH("kg",L74)-1)/LEFT(F75,SEARCH("kg",F75)-1))-1)*100,2)&amp;"%","Keine Reduktion")),"Keine Veränderung")</f>
        <v>Keine Veränderung</v>
      </c>
      <c r="M75" s="255" t="str">
        <f>IF(ISERROR(IF(VALUE(LEFT($L74,SEARCH($Q74,$L74)-1))&gt;VALUE(LEFT($G75,SEARCH($Q74,$G75)-1)),"Nein","Ja")),"",IF(VALUE(LEFT($L74,SEARCH($Q74,$L74)-1))&gt;VALUE(LEFT($G75,SEARCH($Q74,$G75)-1)),"Nein","Ja"))</f>
        <v/>
      </c>
      <c r="N75" s="338" t="str">
        <f t="shared" si="0"/>
        <v>Nicht Gewählt</v>
      </c>
      <c r="O75" s="379">
        <f>'3D_Menüzusammensetzung'!I18</f>
        <v>1</v>
      </c>
      <c r="P75" s="152">
        <f>IFERROR(IF(VALUE(LEFT($L$74,SEARCH("kg",$L$74)-1))&lt;=VALUE(LEFT($G$75,SEARCH("kg",$G$75)-1)),1,0),0)</f>
        <v>0</v>
      </c>
    </row>
    <row r="76" spans="1:17" ht="32.1" customHeight="1" thickBot="1">
      <c r="A76" s="177"/>
      <c r="B76" s="573">
        <v>29</v>
      </c>
      <c r="C76" s="592" t="s">
        <v>250</v>
      </c>
      <c r="D76" s="593"/>
      <c r="E76" s="584" t="str">
        <f>IF('3D_Menüzusammensetzung'!I23=1,'3D_Menüzusammensetzung'!D23,IF('3D_Menüzusammensetzung'!I23=2,'3D_Menüzusammensetzung'!D24,IF('3D_Menüzusammensetzung'!I23=3,'3D_Menüzusammensetzung'!D25,IF('3D_Menüzusammensetzung'!I23=4,'3D_Menüzusammensetzung'!D26,IF('3D_Menüzusammensetzung'!I23=5,'3D_Menüzusammensetzung'!D27,"")))))</f>
        <v>Keine Reduktion</v>
      </c>
      <c r="F76" s="246" t="s">
        <v>362</v>
      </c>
      <c r="G76" s="246" t="str">
        <f>LEFT(F76,2)-IF('3D_Menüzusammensetzung'!I23=1,'3D_Menüzusammensetzung'!E23,IF('3D_Menüzusammensetzung'!I23=2,'3D_Menüzusammensetzung'!E24,IF('3D_Menüzusammensetzung'!I23=3,'3D_Menüzusammensetzung'!E25,IF('3D_Menüzusammensetzung'!I23=4,'3D_Menüzusammensetzung'!E26,IF('3D_Menüzusammensetzung'!I23=5,'3D_Menüzusammensetzung'!E27,"")))))&amp;"g pro Menu weniger"</f>
        <v>0g pro Menu weniger</v>
      </c>
      <c r="H76" s="598">
        <f>IF('3D_Menüzusammensetzung'!I23=1,'3D_Menüzusammensetzung'!H27,IF('3D_Menüzusammensetzung'!I23=2,'3D_Menüzusammensetzung'!H27,IF('3D_Menüzusammensetzung'!I23=3,'3D_Menüzusammensetzung'!H27,IF('3D_Menüzusammensetzung'!I23=4,'3D_Menüzusammensetzung'!H27,IF('3D_Menüzusammensetzung'!I23=5,'3D_Menüzusammensetzung'!H27,"")))))</f>
        <v>0</v>
      </c>
      <c r="I76" s="268" t="s">
        <v>363</v>
      </c>
      <c r="J76" s="275"/>
      <c r="K76" s="275"/>
      <c r="L76" s="258" t="str">
        <f>IF(ISNA(I77)=1,"",IF(SUM(I77)=0,"",SUM(I77) &amp; "kg"))</f>
        <v/>
      </c>
      <c r="M76" s="255"/>
      <c r="N76" s="339" t="str">
        <f t="shared" si="0"/>
        <v>Nicht Gewählt</v>
      </c>
      <c r="O76" s="379">
        <f>'3D_Menüzusammensetzung'!I23</f>
        <v>1</v>
      </c>
      <c r="P76" s="152">
        <f>IFERROR(IF(VALUE(LEFT($L$76,SEARCH("kg",$L$76)-1))&lt;=VALUE(LEFT($G$77,SEARCH("kg",$G$77)-1)),1,0),0)</f>
        <v>0</v>
      </c>
      <c r="Q76" s="152" t="s">
        <v>313</v>
      </c>
    </row>
    <row r="77" spans="1:17" ht="27.75" customHeight="1" thickBot="1">
      <c r="A77" s="177"/>
      <c r="B77" s="564"/>
      <c r="C77" s="594"/>
      <c r="D77" s="595"/>
      <c r="E77" s="570"/>
      <c r="F77" s="289" t="str">
        <f>no_total_1*LEFT(F76,SEARCH("g",F76)-1)/1000&amp;"kg"</f>
        <v>0kg</v>
      </c>
      <c r="G77" s="289" t="str">
        <f>no_total_1*(LEFT(F76,SEARCH("g",F76)-1)-LEFT(G76,SEARCH("g",G76)-1))/1000&amp;"kg"</f>
        <v>0kg</v>
      </c>
      <c r="H77" s="572"/>
      <c r="I77" s="262"/>
      <c r="J77" s="254"/>
      <c r="K77" s="259"/>
      <c r="L77" s="255" t="str">
        <f>IFERROR(IF(VALUE(LEFT(L76,SEARCH("kg",L76)-1))&lt;VALUE(LEFT(F77,SEARCH("kg",F77)-1)),"Reduktion: "&amp;ROUND((1-(VALUE(LEFT(L76,SEARCH("kg",L76)-1))/VALUE(LEFT(F77,SEARCH("kg",F77)-1))))*100,2)&amp;"%",IF(VALUE(LEFT(L76,SEARCH("kg",L76)-1))&gt;VALUE(LEFT(F77,SEARCH("kg",F77)-1)),"Zunahme: "&amp;ROUND(((LEFT(L76,SEARCH("kg",L76)-1)/LEFT(F77,SEARCH("kg",F77)-1))-1)*100,2)&amp;"%","Keine Reduktion")),"Keine Veränderung")</f>
        <v>Keine Veränderung</v>
      </c>
      <c r="M77" s="255" t="str">
        <f>IF(ISERROR(IF(VALUE(LEFT($L76,SEARCH($Q76,$L76)-1))&gt;VALUE(LEFT($G77,SEARCH($Q76,$G77)-1)),"Nein","Ja")),"",IF(VALUE(LEFT($L76,SEARCH($Q76,$L76)-1))&gt;VALUE(LEFT($G77,SEARCH($Q76,$G77)-1)),"Nein","Ja"))</f>
        <v/>
      </c>
      <c r="N77" s="338" t="str">
        <f t="shared" si="0"/>
        <v>Nicht Gewählt</v>
      </c>
      <c r="O77" s="379">
        <f>'3D_Menüzusammensetzung'!I23</f>
        <v>1</v>
      </c>
      <c r="P77" s="152">
        <f>IFERROR(IF(VALUE(LEFT($L$76,SEARCH("kg",$L$76)-1))&lt;=VALUE(LEFT($G$77,SEARCH("kg",$G$77)-1)),1,0),0)</f>
        <v>0</v>
      </c>
    </row>
    <row r="78" spans="1:17" ht="48" customHeight="1" thickBot="1">
      <c r="A78" s="177"/>
      <c r="B78" s="573">
        <v>30</v>
      </c>
      <c r="C78" s="592" t="s">
        <v>364</v>
      </c>
      <c r="D78" s="593"/>
      <c r="E78" s="584" t="str">
        <f>IF('3E_Vegan_Vegetarisch'!J3=1,'3E_Vegan_Vegetarisch'!D3,IF('3E_Vegan_Vegetarisch'!J3=2,'3E_Vegan_Vegetarisch'!D4,IF('3E_Vegan_Vegetarisch'!J3=3,'3E_Vegan_Vegetarisch'!D5,IF('3E_Vegan_Vegetarisch'!J3=4,'3E_Vegan_Vegetarisch'!D6,IF('3E_Vegan_Vegetarisch'!J3=5,'3E_Vegan_Vegetarisch'!D7,"")))))</f>
        <v>Keine Reduktion</v>
      </c>
      <c r="F78" s="601" t="s">
        <v>365</v>
      </c>
      <c r="G78" s="601" t="str">
        <f>IF('3E_Vegan_Vegetarisch'!J3=1,"25% der Menus sind vegetarisch",IF('3E_Vegan_Vegetarisch'!J3=2,"43.75% der Menus sind vegetarisch",IF('3E_Vegan_Vegetarisch'!J3=3,"62.5% der Menus sind vegetarisch",IF('3E_Vegan_Vegetarisch'!J3=4,"81.25% der Menus sind vegetarisch",IF('3E_Vegan_Vegetarisch'!J3=5,"100% der Menus sind vegetarisch","")))))</f>
        <v>25% der Menus sind vegetarisch</v>
      </c>
      <c r="H78" s="598">
        <f>IF('3E_Vegan_Vegetarisch'!J3=1,'3E_Vegan_Vegetarisch'!H7,IF('3E_Vegan_Vegetarisch'!J3=2,'3E_Vegan_Vegetarisch'!H7,IF('3E_Vegan_Vegetarisch'!J3=3,'3E_Vegan_Vegetarisch'!H7,IF('3E_Vegan_Vegetarisch'!J3=4,'3E_Vegan_Vegetarisch'!H7,IF('3E_Vegan_Vegetarisch'!J3=5,'3E_Vegan_Vegetarisch'!H7,"")))))</f>
        <v>0</v>
      </c>
      <c r="I78" s="549" t="s">
        <v>366</v>
      </c>
      <c r="J78" s="550"/>
      <c r="K78" s="292" t="s">
        <v>367</v>
      </c>
      <c r="L78" s="291" t="str">
        <f>IF(ISNA(Ang_Veget_30)+ISNA(no_total_30)=2,"",IF(SUM(I79:K79)=0,"",IFERROR(Ang_Veget_30/no_total_30*100&amp;"%","0")))</f>
        <v/>
      </c>
      <c r="M78" s="255"/>
      <c r="N78" s="344" t="str">
        <f t="shared" si="0"/>
        <v>Nicht Gewählt</v>
      </c>
      <c r="O78" s="379">
        <f>'3E_Vegan_Vegetarisch'!J3</f>
        <v>1</v>
      </c>
      <c r="P78" s="152">
        <f>IFERROR(IF(VALUE(LEFT($L$78,SEARCH("%",$L$78)-1))&gt;=VALUE(LEFT($G$78,SEARCH("%",$G$78)-1)),1,0),0)</f>
        <v>0</v>
      </c>
      <c r="Q78" s="152" t="s">
        <v>333</v>
      </c>
    </row>
    <row r="79" spans="1:17" ht="30" customHeight="1" thickBot="1">
      <c r="A79" s="177"/>
      <c r="B79" s="564"/>
      <c r="C79" s="594"/>
      <c r="D79" s="595"/>
      <c r="E79" s="570"/>
      <c r="F79" s="602"/>
      <c r="G79" s="602"/>
      <c r="H79" s="572"/>
      <c r="I79" s="554"/>
      <c r="J79" s="555"/>
      <c r="K79" s="293"/>
      <c r="L79" s="267" t="str">
        <f>IFERROR(IF(VALUE(LEFT(L78,SEARCH("%",L78)-1))&lt;VALUE(LEFT(F78,SEARCH("%",F78)-1)),"Reduktion: "&amp;ROUND((1-(VALUE(LEFT(L78,SEARCH("%",L78)-1))/VALUE(LEFT(F78,SEARCH("%",F78)-1))))*100,2)&amp;"%",IF(VALUE(LEFT(L78,SEARCH("%",L78)-1))&gt;VALUE(LEFT(F78,SEARCH("%",F78)-1)),"Zunahme: "&amp;ROUND(((LEFT(L78,SEARCH("%",L78)-1)/LEFT(F78,SEARCH("%",F78)-1))-1)*100,2)&amp;"%","Keine Reduktion")),"Keine Veränderung")</f>
        <v>Keine Veränderung</v>
      </c>
      <c r="M79" s="255" t="str">
        <f>IF(ISERROR(IF(VALUE(LEFT($L78,SEARCH($Q78,$L78)-1))&lt;VALUE(LEFT($G78,SEARCH($Q78,$G78)-1)),"Nein","Ja")),"",IF(VALUE(LEFT($L78,SEARCH($Q78,$L78)-1))&lt;VALUE(LEFT($G78,SEARCH($Q78,$G78)-1)),"Nein","Ja"))</f>
        <v/>
      </c>
      <c r="N79" s="340" t="str">
        <f t="shared" si="0"/>
        <v>Nicht Gewählt</v>
      </c>
      <c r="O79" s="379">
        <f>'3E_Vegan_Vegetarisch'!J3</f>
        <v>1</v>
      </c>
      <c r="P79" s="152">
        <f>IFERROR(IF(VALUE(LEFT($L$78,SEARCH("%",$L$78)-1))&gt;=VALUE(LEFT($G$78,SEARCH("%",$G$78)-1)),1,0),0)</f>
        <v>0</v>
      </c>
    </row>
    <row r="80" spans="1:17" ht="48" customHeight="1" thickBot="1">
      <c r="A80" s="177"/>
      <c r="B80" s="573">
        <v>31</v>
      </c>
      <c r="C80" s="592" t="s">
        <v>368</v>
      </c>
      <c r="D80" s="593"/>
      <c r="E80" s="584" t="str">
        <f>IF('3E_Vegan_Vegetarisch'!J8=1,'3E_Vegan_Vegetarisch'!D8,IF('3E_Vegan_Vegetarisch'!J8=2,'3E_Vegan_Vegetarisch'!D9,IF('3E_Vegan_Vegetarisch'!J8=3,'3E_Vegan_Vegetarisch'!D10,IF('3E_Vegan_Vegetarisch'!J8=4,'3E_Vegan_Vegetarisch'!D11,IF('3E_Vegan_Vegetarisch'!J8=5,'3E_Vegan_Vegetarisch'!D12,"")))))</f>
        <v>Keine Reduktion</v>
      </c>
      <c r="F80" s="601" t="s">
        <v>369</v>
      </c>
      <c r="G80" s="601" t="str">
        <f>IF('3E_Vegan_Vegetarisch'!J8=1,"15% der Menus sind vegan",IF('3E_Vegan_Vegetarisch'!J8=2,"36.25% der Menus sind vegan",IF('3E_Vegan_Vegetarisch'!J8=3,"57.5% der Menus sind vegan",IF('3E_Vegan_Vegetarisch'!J8=4,"78.75% der Menus sind vegan",IF('3E_Vegan_Vegetarisch'!J8=5,"100% der Menus sind vegan","")))))</f>
        <v>15% der Menus sind vegan</v>
      </c>
      <c r="H80" s="598">
        <f>IF('3E_Vegan_Vegetarisch'!J8=1,'3E_Vegan_Vegetarisch'!H12,IF('3E_Vegan_Vegetarisch'!J8=2,'3E_Vegan_Vegetarisch'!H12,IF('3E_Vegan_Vegetarisch'!J8=3,'3E_Vegan_Vegetarisch'!H12,IF('3E_Vegan_Vegetarisch'!J8=4,'3E_Vegan_Vegetarisch'!H12,IF('3E_Vegan_Vegetarisch'!J8=5,'3E_Vegan_Vegetarisch'!H12,"")))))</f>
        <v>0</v>
      </c>
      <c r="I80" s="549" t="s">
        <v>370</v>
      </c>
      <c r="J80" s="553"/>
      <c r="K80" s="292" t="s">
        <v>367</v>
      </c>
      <c r="L80" s="291" t="str">
        <f>IF(ISNA(Ang_Vegan_31)+ISNA(no_total_31)=2,"",IF(SUM(I81:K81)=0,"",IFERROR(Ang_Vegan_31/no_total_31*100&amp;"%","0")))</f>
        <v/>
      </c>
      <c r="M80" s="255"/>
      <c r="N80" s="339" t="str">
        <f t="shared" si="0"/>
        <v>Nicht Gewählt</v>
      </c>
      <c r="O80" s="379">
        <f>'3E_Vegan_Vegetarisch'!J8</f>
        <v>1</v>
      </c>
      <c r="P80" s="152">
        <f>IFERROR(IF(VALUE(LEFT($L$80,SEARCH("%",$L$80)-1))&gt;=VALUE(LEFT($G$80,SEARCH("%",$G$80)-1)),1,0),0)</f>
        <v>0</v>
      </c>
      <c r="Q80" s="152" t="s">
        <v>333</v>
      </c>
    </row>
    <row r="81" spans="1:22" ht="30" customHeight="1" thickBot="1">
      <c r="A81" s="177"/>
      <c r="B81" s="564"/>
      <c r="C81" s="594"/>
      <c r="D81" s="595"/>
      <c r="E81" s="570"/>
      <c r="F81" s="602"/>
      <c r="G81" s="602"/>
      <c r="H81" s="572"/>
      <c r="I81" s="554"/>
      <c r="J81" s="556"/>
      <c r="K81" s="293"/>
      <c r="L81" s="267" t="str">
        <f>IFERROR(IF(VALUE(LEFT(L80,SEARCH("%",L80)-1))&lt;VALUE(LEFT(F80,SEARCH("%",F80)-1)),"Reduktion: "&amp;ROUND((1-(VALUE(LEFT(L80,SEARCH("%",L80)-1))/VALUE(LEFT(F80,SEARCH("%",F80)-1))))*100,2)&amp;"%",IF(VALUE(LEFT(L80,SEARCH("%",L80)-1))&gt;VALUE(LEFT(F80,SEARCH("%",F80)-1)),"Zunahme: "&amp;ROUND(((LEFT(L80,SEARCH("%",L80)-1)/LEFT(F80,SEARCH("%",F80)-1))-1)*100,2)&amp;"%","Keine Reduktion")),"Keine Veränderung")</f>
        <v>Keine Veränderung</v>
      </c>
      <c r="M81" s="255" t="str">
        <f>IF(ISERROR(IF(VALUE(LEFT($L80,SEARCH($Q80,$L80)-1))&lt;VALUE(LEFT($G80,SEARCH($Q80,$G80)-1)),"Nein","Ja")),"",IF(VALUE(LEFT($L80,SEARCH($Q80,$L80)-1))&lt;VALUE(LEFT($G80,SEARCH($Q80,$G80)-1)),"Nein","Ja"))</f>
        <v/>
      </c>
      <c r="N81" s="340" t="str">
        <f t="shared" si="0"/>
        <v>Nicht Gewählt</v>
      </c>
      <c r="O81" s="379">
        <f>'3E_Vegan_Vegetarisch'!J8</f>
        <v>1</v>
      </c>
      <c r="P81" s="152">
        <f>IFERROR(IF(VALUE(LEFT($L$80,SEARCH("%",$L$80)-1))&gt;=VALUE(LEFT($G$80,SEARCH("%",$G$80)-1)),1,0),0)</f>
        <v>0</v>
      </c>
    </row>
    <row r="82" spans="1:22" ht="48.75" customHeight="1" thickBot="1">
      <c r="A82" s="177"/>
      <c r="B82" s="573">
        <v>32</v>
      </c>
      <c r="C82" s="592" t="s">
        <v>276</v>
      </c>
      <c r="D82" s="593"/>
      <c r="E82" s="584" t="str">
        <f>IF('3E_Vegan_Vegetarisch'!J13=1,'3E_Vegan_Vegetarisch'!D13,IF('3E_Vegan_Vegetarisch'!J13=2,'3E_Vegan_Vegetarisch'!D14,IF('3E_Vegan_Vegetarisch'!J13=3,'3E_Vegan_Vegetarisch'!D15,IF('3E_Vegan_Vegetarisch'!J13=4,'3E_Vegan_Vegetarisch'!D16,IF('3E_Vegan_Vegetarisch'!J13=5,'3E_Vegan_Vegetarisch'!D17,"")))))</f>
        <v>Keine Reduktion</v>
      </c>
      <c r="F82" s="601" t="s">
        <v>371</v>
      </c>
      <c r="G82" s="601" t="str">
        <f>IF('3E_Vegan_Vegetarisch'!J13=1,"25% der Menüs sind vegetarisch",IF('3E_Vegan_Vegetarisch'!J13=2,"43.75% der Menüs sind vegetarisch",IF('3E_Vegan_Vegetarisch'!J13=3,"62.5% der Menüs sind vegetarisch",IF('3E_Vegan_Vegetarisch'!J13=4,"81.25% der Menüs sind vegetarisch",IF('3E_Vegan_Vegetarisch'!J13=5,"100% der Menüs sind vegetarisch","")))))</f>
        <v>25% der Menüs sind vegetarisch</v>
      </c>
      <c r="H82" s="598">
        <f>IF('3E_Vegan_Vegetarisch'!J13=1,'3E_Vegan_Vegetarisch'!H17,IF('3E_Vegan_Vegetarisch'!J13=2,'3E_Vegan_Vegetarisch'!H17,IF('3E_Vegan_Vegetarisch'!J13=3,'3E_Vegan_Vegetarisch'!H17,IF('3E_Vegan_Vegetarisch'!J13=4,'3E_Vegan_Vegetarisch'!H17,IF('3E_Vegan_Vegetarisch'!J13=5,'3E_Vegan_Vegetarisch'!H17,"")))))</f>
        <v>0</v>
      </c>
      <c r="I82" s="549" t="s">
        <v>372</v>
      </c>
      <c r="J82" s="553"/>
      <c r="K82" s="292" t="s">
        <v>373</v>
      </c>
      <c r="L82" s="291" t="str">
        <f>IF(ISNA(Verk_Veget_32)+ISNA(no_total_32)=2,"",IF(SUM(I83:K83)=0,"",IFERROR(Verk_Veget_32/no_total_32*100&amp;"%","0")))</f>
        <v/>
      </c>
      <c r="M82" s="255"/>
      <c r="N82" s="339" t="str">
        <f t="shared" si="0"/>
        <v>Nicht Gewählt</v>
      </c>
      <c r="O82" s="379">
        <f>'3E_Vegan_Vegetarisch'!J13</f>
        <v>1</v>
      </c>
      <c r="P82" s="152">
        <f>IFERROR(IF(VALUE(LEFT($L$82,SEARCH("%",$L$82)-1))&gt;=VALUE(LEFT($G$82,SEARCH("%",$G$82)-1)),1,0),0)</f>
        <v>0</v>
      </c>
      <c r="Q82" s="152" t="s">
        <v>333</v>
      </c>
    </row>
    <row r="83" spans="1:22" ht="30" customHeight="1" thickBot="1">
      <c r="A83" s="177"/>
      <c r="B83" s="564"/>
      <c r="C83" s="594"/>
      <c r="D83" s="595"/>
      <c r="E83" s="570"/>
      <c r="F83" s="602"/>
      <c r="G83" s="602"/>
      <c r="H83" s="572"/>
      <c r="I83" s="554"/>
      <c r="J83" s="556"/>
      <c r="K83" s="293"/>
      <c r="L83" s="267" t="str">
        <f>IFERROR(IF(VALUE(LEFT(L82,SEARCH("%",L82)-1))&lt;VALUE(LEFT(F82,SEARCH("%",F82)-1)),"Reduktion: "&amp;ROUND((1-(VALUE(LEFT(L82,SEARCH("%",L82)-1))/VALUE(LEFT(F82,SEARCH("%",F82)-1))))*100,2)&amp;"%",IF(VALUE(LEFT(L82,SEARCH("%",L82)-1))&gt;VALUE(LEFT(F82,SEARCH("%",F82)-1)),"Zunahme: "&amp;ROUND(((LEFT(L82,SEARCH("%",L82)-1)/LEFT(F82,SEARCH("%",F82)-1))-1)*100,2)&amp;"%","Keine Reduktion")),"Keine Veränderung")</f>
        <v>Keine Veränderung</v>
      </c>
      <c r="M83" s="255" t="str">
        <f>IF(ISERROR(IF(VALUE(LEFT($L82,SEARCH($Q82,$L82)-1))&lt;VALUE(LEFT($G82,SEARCH($Q82,$G82)-1)),"Nein","Ja")),"",IF(VALUE(LEFT($L82,SEARCH($Q82,$L82)-1))&lt;VALUE(LEFT($G82,SEARCH($Q82,$G82)-1)),"Nein","Ja"))</f>
        <v/>
      </c>
      <c r="N83" s="340" t="str">
        <f t="shared" si="0"/>
        <v>Nicht Gewählt</v>
      </c>
      <c r="O83" s="379">
        <f>'3E_Vegan_Vegetarisch'!J13</f>
        <v>1</v>
      </c>
      <c r="P83" s="152">
        <f>IFERROR(IF(VALUE(LEFT($L$82,SEARCH("%",$L$82)-1))&gt;=VALUE(LEFT($G$82,SEARCH("%",$G$82)-1)),1,0),0)</f>
        <v>0</v>
      </c>
    </row>
    <row r="84" spans="1:22" ht="48.75" customHeight="1" thickBot="1">
      <c r="A84" s="177"/>
      <c r="B84" s="573">
        <v>33</v>
      </c>
      <c r="C84" s="592" t="s">
        <v>374</v>
      </c>
      <c r="D84" s="593"/>
      <c r="E84" s="584" t="str">
        <f>IF('3E_Vegan_Vegetarisch'!J18=1,'3E_Vegan_Vegetarisch'!D18,IF('3E_Vegan_Vegetarisch'!J18=2,'3E_Vegan_Vegetarisch'!D19,IF('3E_Vegan_Vegetarisch'!J18=3,'3E_Vegan_Vegetarisch'!D20,IF('3E_Vegan_Vegetarisch'!J18=4,'3E_Vegan_Vegetarisch'!D21,IF('3E_Vegan_Vegetarisch'!J18=5,'3E_Vegan_Vegetarisch'!D22,"")))))</f>
        <v>Keine Reduktion</v>
      </c>
      <c r="F84" s="601" t="s">
        <v>369</v>
      </c>
      <c r="G84" s="601" t="str">
        <f>IF('3E_Vegan_Vegetarisch'!J18=1,"15% der Menus sind vegan",IF('3E_Vegan_Vegetarisch'!J18=2,"36.25% der Menus sind vegan",IF('3E_Vegan_Vegetarisch'!J18=3,"57.5% der Menus sind vegan",IF('3E_Vegan_Vegetarisch'!J18=4,"78.75% der Menus sind vegan",IF('3E_Vegan_Vegetarisch'!J18=5,"100% der Menus sind vegan","")))))</f>
        <v>15% der Menus sind vegan</v>
      </c>
      <c r="H84" s="598">
        <f>IF('3E_Vegan_Vegetarisch'!J18=1,'3E_Vegan_Vegetarisch'!H22,IF('3E_Vegan_Vegetarisch'!J18=2,'3E_Vegan_Vegetarisch'!H22,IF('3E_Vegan_Vegetarisch'!J18=3,'3E_Vegan_Vegetarisch'!H22,IF('3E_Vegan_Vegetarisch'!J18=4,'3E_Vegan_Vegetarisch'!H22,IF('3E_Vegan_Vegetarisch'!J18=5,'3E_Vegan_Vegetarisch'!H22,"")))))</f>
        <v>0</v>
      </c>
      <c r="I84" s="549" t="s">
        <v>375</v>
      </c>
      <c r="J84" s="553"/>
      <c r="K84" s="292" t="s">
        <v>376</v>
      </c>
      <c r="L84" s="291" t="str">
        <f>IF(ISNA(Verk_Vegan_33)+ISNA(no_total_33)=2,"",IF(SUM(I85:K85)=0,"",IFERROR(Verk_Vegan_33/no_total_33*100&amp;"%","0")))</f>
        <v/>
      </c>
      <c r="M84" s="255"/>
      <c r="N84" s="339" t="str">
        <f t="shared" si="0"/>
        <v>Nicht Gewählt</v>
      </c>
      <c r="O84" s="379">
        <f>'3E_Vegan_Vegetarisch'!J18</f>
        <v>1</v>
      </c>
      <c r="P84" s="152">
        <f>IFERROR(IF(VALUE(LEFT($L$84,SEARCH("%",$L$84)-1))&gt;=VALUE(LEFT($G$84,SEARCH("%",$G$84)-1)),1,0),0)</f>
        <v>0</v>
      </c>
      <c r="Q84" s="152" t="s">
        <v>333</v>
      </c>
    </row>
    <row r="85" spans="1:22" ht="30" customHeight="1" thickBot="1">
      <c r="A85" s="177"/>
      <c r="B85" s="564"/>
      <c r="C85" s="594"/>
      <c r="D85" s="595"/>
      <c r="E85" s="570"/>
      <c r="F85" s="602"/>
      <c r="G85" s="602"/>
      <c r="H85" s="572"/>
      <c r="I85" s="557"/>
      <c r="J85" s="558"/>
      <c r="K85" s="293" t="str">
        <f>IF(O85=1,"",'2_Grunddaten'!$D$10)</f>
        <v/>
      </c>
      <c r="L85" s="267" t="str">
        <f>IFERROR(IF(VALUE(LEFT(L84,SEARCH("%",L84)-1))&lt;VALUE(LEFT(F84,SEARCH("%",F84)-1)),"Reduktion: "&amp;ROUND((1-(VALUE(LEFT(L84,SEARCH("%",L84)-1))/VALUE(LEFT(F84,SEARCH("%",F84)-1))))*100,2)&amp;"%",IF(VALUE(LEFT(L84,SEARCH("%",L84)-1))&gt;VALUE(LEFT(F84,SEARCH("%",F84)-1)),"Zunahme: "&amp;ROUND(((LEFT(L84,SEARCH("%",L84)-1)/LEFT(F84,SEARCH("%",F84)-1))-1)*100,2)&amp;"%","Keine Reduktion")),"Keine Veränderung")</f>
        <v>Keine Veränderung</v>
      </c>
      <c r="M85" s="255" t="str">
        <f>IF(ISERROR(IF(VALUE(LEFT($L84,SEARCH($Q84,$L84)-1))&lt;VALUE(LEFT($G84,SEARCH($Q84,$G84)-1)),"Nein","Ja")),"",IF(VALUE(LEFT($L84,SEARCH($Q84,$L84)-1))&lt;VALUE(LEFT($G84,SEARCH($Q84,$G84)-1)),"Nein","Ja"))</f>
        <v/>
      </c>
      <c r="N85" s="340" t="str">
        <f t="shared" si="0"/>
        <v>Nicht Gewählt</v>
      </c>
      <c r="O85" s="379">
        <f>'3E_Vegan_Vegetarisch'!J18</f>
        <v>1</v>
      </c>
      <c r="P85" s="152">
        <f>IFERROR(IF(VALUE(LEFT($L$84,SEARCH("%",$L$84)-1))&gt;=VALUE(LEFT($G$84,SEARCH("%",$G$84)-1)),1,0),0)</f>
        <v>0</v>
      </c>
    </row>
    <row r="86" spans="1:22" ht="80.25" customHeight="1">
      <c r="A86" s="177"/>
      <c r="B86" s="573">
        <v>34</v>
      </c>
      <c r="C86" s="592" t="s">
        <v>286</v>
      </c>
      <c r="D86" s="593"/>
      <c r="E86" s="584" t="str">
        <f>IF('3F_Foodwaste'!I3=1,'3F_Foodwaste'!D3,IF('3F_Foodwaste'!I3=2,'3F_Foodwaste'!D4,IF('3F_Foodwaste'!I3=3,'3F_Foodwaste'!D5,IF('3F_Foodwaste'!I3=4,'3F_Foodwaste'!D6,IF('3F_Foodwaste'!I3=5,'3F_Foodwaste'!D7,"")))))</f>
        <v>Keine Reduktion</v>
      </c>
      <c r="F86" s="246" t="s">
        <v>445</v>
      </c>
      <c r="G86" s="246" t="str">
        <f>LEFT(F86,5)-IF('3F_Foodwaste'!I3=1,'3F_Foodwaste'!E3,IF('3F_Foodwaste'!I3=2,'3F_Foodwaste'!E4,IF('3F_Foodwaste'!I3=3,'3F_Foodwaste'!E5,IF('3F_Foodwaste'!I3=4,'3F_Foodwaste'!E6,IF('3F_Foodwaste'!I3=5,'3F_Foodwaste'!E7,"")))))&amp;"g pro Menu weniger"</f>
        <v>0g pro Menu weniger</v>
      </c>
      <c r="H86" s="608">
        <f>IF('3F_Foodwaste'!I3=1,'3F_Foodwaste'!H7,IF('3F_Foodwaste'!I3=2,'3F_Foodwaste'!H7,IF('3F_Foodwaste'!I3=3,'3F_Foodwaste'!H7,IF('3F_Foodwaste'!I3=4,'3F_Foodwaste'!H7,IF('3F_Foodwaste'!I3=5,'3F_Foodwaste'!H7,"")))))</f>
        <v>0</v>
      </c>
      <c r="I86" s="377" t="s">
        <v>319</v>
      </c>
      <c r="J86" s="259"/>
      <c r="K86" s="269"/>
      <c r="L86" s="258" t="e">
        <f>IF(Foodwaste_34=0,"",IF($R$86=1,Foodwaste_34*no_total_1/1000,Foodwaste_34)&amp;"kg")</f>
        <v>#N/A</v>
      </c>
      <c r="M86" s="255"/>
      <c r="N86" s="339" t="str">
        <f t="shared" si="0"/>
        <v>Nicht Gewählt</v>
      </c>
      <c r="O86" s="379">
        <f>'3F_Foodwaste'!I3</f>
        <v>1</v>
      </c>
      <c r="P86" s="152">
        <f>IFERROR(IF(VALUE(LEFT($L$86,SEARCH("kg",$L$86)-1))&lt;=VALUE(LEFT($G$87,SEARCH("kg",$G$87)-1)),1,0),0)</f>
        <v>0</v>
      </c>
      <c r="Q86" s="152" t="s">
        <v>313</v>
      </c>
      <c r="R86" s="378" t="e">
        <f>INDEX('4_Berechnung'!$O$31:$O$33,MATCH('4_Berechnung'!D30,'4_Berechnung'!$N$31:$N$33,0),1)</f>
        <v>#N/A</v>
      </c>
      <c r="S86" s="378"/>
      <c r="T86" s="378"/>
      <c r="U86" s="378"/>
      <c r="V86" s="378"/>
    </row>
    <row r="87" spans="1:22" ht="24" customHeight="1">
      <c r="A87" s="177"/>
      <c r="B87" s="604"/>
      <c r="C87" s="605"/>
      <c r="D87" s="606"/>
      <c r="E87" s="607"/>
      <c r="F87" s="294" t="str">
        <f>no_total_1*LEFT(F86,SEARCH("g",F86)-1)/1000&amp;"kg"</f>
        <v>0kg</v>
      </c>
      <c r="G87" s="294" t="str">
        <f>ROUND(no_total_1*(LEFT(F86,SEARCH("g",F86)-1)-LEFT(G86,SEARCH("g",G86)-1))/1000,1)&amp;"kg"</f>
        <v>0kg</v>
      </c>
      <c r="H87" s="609"/>
      <c r="I87" s="376" t="e">
        <f>IF(R86=3,'4_Berechnung'!D31,'4_Berechnung'!D31*0.7)</f>
        <v>#N/A</v>
      </c>
      <c r="J87" s="259" t="str">
        <f>IF(ISERROR(IF(R86=1,"g/Hauptmahlzeit","kg")),"",IF(R86=1,"g/Hauptmahlzeit","kg"))</f>
        <v/>
      </c>
      <c r="K87" s="295"/>
      <c r="L87" s="296" t="str">
        <f>IFERROR(IF(VALUE(LEFT(L86,SEARCH("kg",L86)-1))&lt;VALUE(LEFT(F87,SEARCH("kg",F87)-1)),"Reduktion: "&amp;ROUND((1-(VALUE(LEFT(L86,SEARCH("kg",L86)-1))/VALUE(LEFT(F87,SEARCH("kg",F87)-1))))*100,2)&amp;"%",IF(VALUE(LEFT(L86,SEARCH("kg",L86)-1))&gt;VALUE(LEFT(F87,SEARCH("kg",F87)-1)),"Zunahme: "&amp;ROUND(((LEFT(L86,SEARCH("kg",L86)-1)/LEFT(F87,SEARCH("kg",F87)-1))-1)*100,2)&amp;"%","Keine Reduktion")),"Keine Veränderung")</f>
        <v>Keine Veränderung</v>
      </c>
      <c r="M87" s="255" t="str">
        <f>IF(ISERROR(IF(VALUE(LEFT($L86,SEARCH($Q86,$L86)-1))&gt;VALUE(LEFT($G87,SEARCH($Q86,$G87)-1)),"Nein","Ja")),"",IF(VALUE(LEFT($L86,SEARCH($Q86,$L86)-1))&gt;VALUE(LEFT($G87,SEARCH($Q86,$G87)-1)),"Nein","Ja"))</f>
        <v/>
      </c>
      <c r="N87" s="345" t="str">
        <f t="shared" ref="N87" si="1">IF(O87=1,"Nicht Gewählt", "Gewählt")</f>
        <v>Nicht Gewählt</v>
      </c>
      <c r="O87" s="379">
        <f>'3F_Foodwaste'!I3</f>
        <v>1</v>
      </c>
      <c r="P87" s="152">
        <f>IFERROR(IF(VALUE(LEFT($L$86,SEARCH("kg",$L$86)-1))&lt;=VALUE(LEFT($G$87,SEARCH("kg",$G$87)-1)),1,0),0)</f>
        <v>0</v>
      </c>
    </row>
    <row r="88" spans="1:22" ht="12.75" customHeight="1">
      <c r="A88" s="177"/>
      <c r="B88" s="169"/>
      <c r="C88" s="170"/>
      <c r="D88" s="170"/>
      <c r="E88" s="174"/>
      <c r="F88" s="171"/>
      <c r="G88" s="171"/>
      <c r="H88" s="172"/>
      <c r="I88" s="173"/>
      <c r="J88" s="173"/>
      <c r="K88" s="173"/>
      <c r="L88" s="172"/>
      <c r="M88" s="172"/>
      <c r="N88" s="172"/>
      <c r="O88" s="350"/>
    </row>
    <row r="89" spans="1:22" ht="30" customHeight="1">
      <c r="A89" s="177"/>
      <c r="B89" s="169">
        <v>35</v>
      </c>
      <c r="C89" s="543" t="s">
        <v>377</v>
      </c>
      <c r="D89" s="543"/>
      <c r="E89" s="544" t="s">
        <v>378</v>
      </c>
      <c r="F89" s="544"/>
      <c r="G89" s="544"/>
      <c r="H89" s="172">
        <f>'3B_Fleisch'!I65</f>
        <v>0</v>
      </c>
      <c r="I89" s="173"/>
      <c r="J89" s="173"/>
      <c r="K89" s="173"/>
      <c r="L89" s="172"/>
      <c r="M89" s="172"/>
      <c r="N89" s="172"/>
      <c r="O89" s="350"/>
    </row>
    <row r="90" spans="1:22" ht="12.75" customHeight="1" thickBot="1">
      <c r="A90" s="177"/>
      <c r="B90" s="169"/>
      <c r="C90" s="170"/>
      <c r="D90" s="170"/>
      <c r="E90" s="174"/>
      <c r="F90" s="171"/>
      <c r="G90" s="171"/>
      <c r="H90" s="172"/>
      <c r="I90" s="173"/>
      <c r="J90" s="173"/>
      <c r="K90" s="173"/>
      <c r="L90" s="172"/>
      <c r="M90" s="172"/>
      <c r="N90" s="172"/>
      <c r="O90" s="350"/>
    </row>
    <row r="91" spans="1:22" ht="21" customHeight="1" thickBot="1">
      <c r="A91" s="177"/>
      <c r="B91" s="169"/>
      <c r="C91" s="330"/>
      <c r="D91" s="541" t="s">
        <v>379</v>
      </c>
      <c r="E91" s="542"/>
      <c r="F91" s="328">
        <f>SUM(H19:H86)</f>
        <v>0</v>
      </c>
      <c r="G91" s="329" t="s">
        <v>380</v>
      </c>
      <c r="H91" s="328">
        <f>IF(SUM(H20*P21,H22*P23,H24*P25,H26*P27,H28*P29,H30*P31,H32*P33,H34*P35,H36*P37,H38*P39,H40*P41,H42*P43,H44*P45,H46*P47,H48*P49,H50*P51,H52*P53,H54*P55,H56*P57,H58*P59,H60*P61,H62*P63,H64*P65,H66*P67,H68*P69,H70*P71,H72*P73,H74*P75,H76*P77,H78*P79,H80*P81,H82*P83,H84*P85,H86*P87,H89)&gt;0,SUM(H20*P21,H22*P23,H24*P25,H26*P27,H28*P29,H30*P31,H32*P33,H34*P35,H36*P37,H38*P39,H40*P41,H42*P43,H44*P45,H46*P47,H48*P49,H50*P51,H52*P53,H54*P55,H56*P57,H58*P59,H60*P61,H62*P63,H64*P65,H66*P67,H68*P69,H70*P71,H72*P73,H74*P75,H76*P77,H78*P79,H80*P81,H82*P83,H84*P85,H86*P87,H89),0)</f>
        <v>0</v>
      </c>
      <c r="I91" s="173"/>
      <c r="J91" s="173"/>
      <c r="K91" s="173"/>
      <c r="L91" s="172"/>
      <c r="M91" s="172"/>
      <c r="N91" s="172"/>
      <c r="O91" s="350"/>
    </row>
    <row r="92" spans="1:22" ht="15.75" thickBot="1">
      <c r="A92" s="184"/>
      <c r="B92" s="185"/>
      <c r="C92" s="185"/>
      <c r="D92" s="185"/>
      <c r="E92" s="176"/>
      <c r="F92" s="175"/>
      <c r="G92" s="176"/>
      <c r="H92" s="175"/>
      <c r="I92" s="189"/>
      <c r="J92" s="189"/>
      <c r="K92" s="189"/>
      <c r="L92" s="186"/>
      <c r="M92" s="186"/>
      <c r="N92" s="202"/>
      <c r="O92" s="351"/>
    </row>
    <row r="93" spans="1:22" ht="15" thickTop="1"/>
  </sheetData>
  <autoFilter ref="B19:N87" xr:uid="{00000000-0009-0000-0000-000008000000}">
    <filterColumn colId="1" showButton="0"/>
  </autoFilter>
  <mergeCells count="183">
    <mergeCell ref="B86:B87"/>
    <mergeCell ref="C86:D87"/>
    <mergeCell ref="E86:E87"/>
    <mergeCell ref="H86:H87"/>
    <mergeCell ref="B78:B79"/>
    <mergeCell ref="C78:D79"/>
    <mergeCell ref="E78:E79"/>
    <mergeCell ref="F78:F79"/>
    <mergeCell ref="G78:G79"/>
    <mergeCell ref="H78:H79"/>
    <mergeCell ref="B84:B85"/>
    <mergeCell ref="C84:D85"/>
    <mergeCell ref="E84:E85"/>
    <mergeCell ref="F84:F85"/>
    <mergeCell ref="G84:G85"/>
    <mergeCell ref="H84:H85"/>
    <mergeCell ref="B82:B83"/>
    <mergeCell ref="C82:D83"/>
    <mergeCell ref="E82:E83"/>
    <mergeCell ref="F82:F83"/>
    <mergeCell ref="G82:G83"/>
    <mergeCell ref="H82:H83"/>
    <mergeCell ref="B80:B81"/>
    <mergeCell ref="C80:D81"/>
    <mergeCell ref="E80:E81"/>
    <mergeCell ref="F80:F81"/>
    <mergeCell ref="G80:G81"/>
    <mergeCell ref="H80:H81"/>
    <mergeCell ref="B68:B69"/>
    <mergeCell ref="C68:D69"/>
    <mergeCell ref="E68:E69"/>
    <mergeCell ref="H68:H69"/>
    <mergeCell ref="B70:B71"/>
    <mergeCell ref="C70:D71"/>
    <mergeCell ref="E70:E71"/>
    <mergeCell ref="F70:F71"/>
    <mergeCell ref="G70:G71"/>
    <mergeCell ref="H70:H71"/>
    <mergeCell ref="B72:B73"/>
    <mergeCell ref="C72:D73"/>
    <mergeCell ref="E72:E73"/>
    <mergeCell ref="H72:H73"/>
    <mergeCell ref="B74:B75"/>
    <mergeCell ref="C74:D75"/>
    <mergeCell ref="E74:E75"/>
    <mergeCell ref="H74:H75"/>
    <mergeCell ref="B76:B77"/>
    <mergeCell ref="C76:D77"/>
    <mergeCell ref="E76:E77"/>
    <mergeCell ref="H76:H77"/>
    <mergeCell ref="B60:B61"/>
    <mergeCell ref="C60:D61"/>
    <mergeCell ref="E60:E61"/>
    <mergeCell ref="H60:H61"/>
    <mergeCell ref="B62:B63"/>
    <mergeCell ref="C62:D63"/>
    <mergeCell ref="E62:E63"/>
    <mergeCell ref="F62:F63"/>
    <mergeCell ref="G62:G63"/>
    <mergeCell ref="B66:B67"/>
    <mergeCell ref="C66:D67"/>
    <mergeCell ref="E66:E67"/>
    <mergeCell ref="F66:F67"/>
    <mergeCell ref="G66:G67"/>
    <mergeCell ref="H66:H67"/>
    <mergeCell ref="H62:H63"/>
    <mergeCell ref="B64:B65"/>
    <mergeCell ref="C64:D65"/>
    <mergeCell ref="E64:E65"/>
    <mergeCell ref="F64:F65"/>
    <mergeCell ref="G64:G65"/>
    <mergeCell ref="H64:H65"/>
    <mergeCell ref="B56:B57"/>
    <mergeCell ref="C56:D57"/>
    <mergeCell ref="E56:E57"/>
    <mergeCell ref="G56:G57"/>
    <mergeCell ref="H56:H57"/>
    <mergeCell ref="B58:B59"/>
    <mergeCell ref="C58:D59"/>
    <mergeCell ref="E58:E59"/>
    <mergeCell ref="F58:F59"/>
    <mergeCell ref="G58:G59"/>
    <mergeCell ref="H58:H59"/>
    <mergeCell ref="B52:B53"/>
    <mergeCell ref="C52:D53"/>
    <mergeCell ref="E52:E53"/>
    <mergeCell ref="H52:H53"/>
    <mergeCell ref="B54:B55"/>
    <mergeCell ref="C54:D55"/>
    <mergeCell ref="E54:E55"/>
    <mergeCell ref="H54:H55"/>
    <mergeCell ref="B48:B49"/>
    <mergeCell ref="C48:D49"/>
    <mergeCell ref="E48:E49"/>
    <mergeCell ref="H48:H49"/>
    <mergeCell ref="B50:B51"/>
    <mergeCell ref="C50:D51"/>
    <mergeCell ref="E50:E51"/>
    <mergeCell ref="H50:H51"/>
    <mergeCell ref="B44:B45"/>
    <mergeCell ref="C44:D45"/>
    <mergeCell ref="E44:E45"/>
    <mergeCell ref="H44:H45"/>
    <mergeCell ref="B46:B47"/>
    <mergeCell ref="C46:D47"/>
    <mergeCell ref="E46:E47"/>
    <mergeCell ref="H46:H47"/>
    <mergeCell ref="B40:B41"/>
    <mergeCell ref="C40:D41"/>
    <mergeCell ref="E40:E41"/>
    <mergeCell ref="H40:H41"/>
    <mergeCell ref="B42:B43"/>
    <mergeCell ref="C42:D43"/>
    <mergeCell ref="E42:E43"/>
    <mergeCell ref="H42:H43"/>
    <mergeCell ref="B26:B27"/>
    <mergeCell ref="C26:D27"/>
    <mergeCell ref="E26:E27"/>
    <mergeCell ref="H26:H27"/>
    <mergeCell ref="B36:B37"/>
    <mergeCell ref="C36:D37"/>
    <mergeCell ref="E36:E37"/>
    <mergeCell ref="H36:H37"/>
    <mergeCell ref="B38:B39"/>
    <mergeCell ref="C38:D39"/>
    <mergeCell ref="E38:E39"/>
    <mergeCell ref="H38:H39"/>
    <mergeCell ref="B32:B33"/>
    <mergeCell ref="C32:D33"/>
    <mergeCell ref="E32:E33"/>
    <mergeCell ref="H32:H33"/>
    <mergeCell ref="B34:B35"/>
    <mergeCell ref="C34:D35"/>
    <mergeCell ref="E34:E35"/>
    <mergeCell ref="H34:H35"/>
    <mergeCell ref="I78:J78"/>
    <mergeCell ref="I80:J80"/>
    <mergeCell ref="I82:J82"/>
    <mergeCell ref="C19:D19"/>
    <mergeCell ref="B20:B21"/>
    <mergeCell ref="C20:D21"/>
    <mergeCell ref="E20:E21"/>
    <mergeCell ref="H20:H21"/>
    <mergeCell ref="B22:B23"/>
    <mergeCell ref="C22:D23"/>
    <mergeCell ref="E22:E23"/>
    <mergeCell ref="H22:H23"/>
    <mergeCell ref="B28:B29"/>
    <mergeCell ref="C28:D29"/>
    <mergeCell ref="E28:E29"/>
    <mergeCell ref="H28:H29"/>
    <mergeCell ref="B30:B31"/>
    <mergeCell ref="C30:D31"/>
    <mergeCell ref="E30:E31"/>
    <mergeCell ref="H30:H31"/>
    <mergeCell ref="B24:B25"/>
    <mergeCell ref="C24:D25"/>
    <mergeCell ref="E24:E25"/>
    <mergeCell ref="H24:H25"/>
    <mergeCell ref="D91:E91"/>
    <mergeCell ref="C89:D89"/>
    <mergeCell ref="E89:G89"/>
    <mergeCell ref="I30:I31"/>
    <mergeCell ref="I40:I41"/>
    <mergeCell ref="I44:I45"/>
    <mergeCell ref="I54:I55"/>
    <mergeCell ref="I58:J58"/>
    <mergeCell ref="I59:J59"/>
    <mergeCell ref="I60:J60"/>
    <mergeCell ref="I61:J61"/>
    <mergeCell ref="I62:J62"/>
    <mergeCell ref="I64:J64"/>
    <mergeCell ref="I63:J63"/>
    <mergeCell ref="I84:J84"/>
    <mergeCell ref="I79:J79"/>
    <mergeCell ref="I81:J81"/>
    <mergeCell ref="I83:J83"/>
    <mergeCell ref="I85:J85"/>
    <mergeCell ref="I65:J65"/>
    <mergeCell ref="I66:J66"/>
    <mergeCell ref="I67:J67"/>
    <mergeCell ref="I70:J70"/>
    <mergeCell ref="I71:J71"/>
  </mergeCells>
  <conditionalFormatting sqref="B20:K20 B21:L21">
    <cfRule type="expression" dxfId="193" priority="647">
      <formula>$O$20=1</formula>
    </cfRule>
  </conditionalFormatting>
  <conditionalFormatting sqref="B22:K22 B23:L23">
    <cfRule type="expression" dxfId="192" priority="646">
      <formula>$O$22=1</formula>
    </cfRule>
  </conditionalFormatting>
  <conditionalFormatting sqref="B24:K24 B25:L25">
    <cfRule type="expression" dxfId="191" priority="645">
      <formula>$O$24=1</formula>
    </cfRule>
  </conditionalFormatting>
  <conditionalFormatting sqref="B26:K26 B27:L27">
    <cfRule type="expression" dxfId="190" priority="644">
      <formula>$O$26=1</formula>
    </cfRule>
  </conditionalFormatting>
  <conditionalFormatting sqref="B28:K28 B29:L29">
    <cfRule type="expression" dxfId="189" priority="643">
      <formula>$O$28=1</formula>
    </cfRule>
  </conditionalFormatting>
  <conditionalFormatting sqref="B32:K32 B33:L33">
    <cfRule type="expression" dxfId="188" priority="641">
      <formula>$O$32=1</formula>
    </cfRule>
  </conditionalFormatting>
  <conditionalFormatting sqref="B42:K42 B43:L43">
    <cfRule type="expression" dxfId="187" priority="636">
      <formula>$O$42=1</formula>
    </cfRule>
  </conditionalFormatting>
  <conditionalFormatting sqref="B46:K46 B47:L47">
    <cfRule type="expression" dxfId="186" priority="634">
      <formula>$O$46=1</formula>
    </cfRule>
  </conditionalFormatting>
  <conditionalFormatting sqref="B48:K48 B49:L49">
    <cfRule type="expression" dxfId="185" priority="633">
      <formula>$O$48=1</formula>
    </cfRule>
  </conditionalFormatting>
  <conditionalFormatting sqref="B50:K50 B51:L51">
    <cfRule type="expression" dxfId="184" priority="632">
      <formula>$O$50=1</formula>
    </cfRule>
  </conditionalFormatting>
  <conditionalFormatting sqref="B52:K52 B53:L53">
    <cfRule type="expression" dxfId="183" priority="580">
      <formula>$O$52=1</formula>
    </cfRule>
  </conditionalFormatting>
  <conditionalFormatting sqref="B56:K56 B57:L57">
    <cfRule type="expression" dxfId="182" priority="629">
      <formula>$O$56=1</formula>
    </cfRule>
  </conditionalFormatting>
  <conditionalFormatting sqref="B58:K58 B59:L59">
    <cfRule type="expression" dxfId="181" priority="628">
      <formula>$O$58=1</formula>
    </cfRule>
  </conditionalFormatting>
  <conditionalFormatting sqref="B60:K60 B61:L61">
    <cfRule type="expression" dxfId="180" priority="627">
      <formula>$O$60=1</formula>
    </cfRule>
  </conditionalFormatting>
  <conditionalFormatting sqref="B62:K62 B63:L63">
    <cfRule type="expression" dxfId="179" priority="626">
      <formula>$O$62=1</formula>
    </cfRule>
  </conditionalFormatting>
  <conditionalFormatting sqref="B64:K64 B65:L65">
    <cfRule type="expression" dxfId="178" priority="625">
      <formula>$O$64=1</formula>
    </cfRule>
  </conditionalFormatting>
  <conditionalFormatting sqref="B66:K66 B67:L67">
    <cfRule type="expression" dxfId="177" priority="624">
      <formula>$O$66=1</formula>
    </cfRule>
  </conditionalFormatting>
  <conditionalFormatting sqref="B68:K68 B69:L69">
    <cfRule type="expression" dxfId="176" priority="623">
      <formula>$O$68=1</formula>
    </cfRule>
  </conditionalFormatting>
  <conditionalFormatting sqref="B70:K70 B71:L71">
    <cfRule type="expression" dxfId="175" priority="622">
      <formula>$O$70=1</formula>
    </cfRule>
  </conditionalFormatting>
  <conditionalFormatting sqref="B72:K72 B73:L73">
    <cfRule type="expression" dxfId="174" priority="621">
      <formula>$O$72=1</formula>
    </cfRule>
  </conditionalFormatting>
  <conditionalFormatting sqref="B80:K80">
    <cfRule type="expression" dxfId="173" priority="618">
      <formula>$O$80=1</formula>
    </cfRule>
  </conditionalFormatting>
  <conditionalFormatting sqref="B82:K82">
    <cfRule type="expression" dxfId="172" priority="617">
      <formula>$O$82=1</formula>
    </cfRule>
  </conditionalFormatting>
  <conditionalFormatting sqref="B84:K84">
    <cfRule type="expression" dxfId="171" priority="616">
      <formula>$O$84=1</formula>
    </cfRule>
  </conditionalFormatting>
  <conditionalFormatting sqref="B36:L37 N36:N37">
    <cfRule type="expression" dxfId="170" priority="796">
      <formula>$O$36=1</formula>
    </cfRule>
  </conditionalFormatting>
  <conditionalFormatting sqref="B38:L39">
    <cfRule type="expression" dxfId="169" priority="64">
      <formula>$O$38=1</formula>
    </cfRule>
  </conditionalFormatting>
  <conditionalFormatting sqref="B44:L45 N44:N45">
    <cfRule type="expression" dxfId="168" priority="802">
      <formula>$O$44=1</formula>
    </cfRule>
  </conditionalFormatting>
  <conditionalFormatting sqref="B54:L55 N54:N55">
    <cfRule type="expression" dxfId="167" priority="804">
      <formula>$O$54=1</formula>
    </cfRule>
  </conditionalFormatting>
  <conditionalFormatting sqref="B74:L75">
    <cfRule type="expression" dxfId="166" priority="62">
      <formula>$O$74=1</formula>
    </cfRule>
  </conditionalFormatting>
  <conditionalFormatting sqref="B76:L77 N76:N77">
    <cfRule type="expression" dxfId="165" priority="521">
      <formula>$O$76=1</formula>
    </cfRule>
  </conditionalFormatting>
  <conditionalFormatting sqref="B78:L79 N78:N79">
    <cfRule type="expression" dxfId="164" priority="806">
      <formula>$O$78=1</formula>
    </cfRule>
  </conditionalFormatting>
  <conditionalFormatting sqref="B81:L81">
    <cfRule type="expression" dxfId="163" priority="171">
      <formula>$O$80=1</formula>
    </cfRule>
  </conditionalFormatting>
  <conditionalFormatting sqref="B83:L83">
    <cfRule type="expression" dxfId="162" priority="173">
      <formula>$O$82=1</formula>
    </cfRule>
  </conditionalFormatting>
  <conditionalFormatting sqref="B85:L85">
    <cfRule type="expression" dxfId="161" priority="170">
      <formula>$O$84=1</formula>
    </cfRule>
  </conditionalFormatting>
  <conditionalFormatting sqref="B40:N41">
    <cfRule type="expression" dxfId="160" priority="6">
      <formula>$O40=1</formula>
    </cfRule>
  </conditionalFormatting>
  <conditionalFormatting sqref="I30:I31">
    <cfRule type="expression" dxfId="159" priority="514">
      <formula>$O30=1</formula>
    </cfRule>
  </conditionalFormatting>
  <conditionalFormatting sqref="J86:J87">
    <cfRule type="expression" dxfId="158" priority="3">
      <formula>$O$54=1</formula>
    </cfRule>
  </conditionalFormatting>
  <conditionalFormatting sqref="J30:K30 B30:H31 J31:L31">
    <cfRule type="expression" dxfId="157" priority="642">
      <formula>$O$30=1</formula>
    </cfRule>
  </conditionalFormatting>
  <conditionalFormatting sqref="K86 B86:I87">
    <cfRule type="expression" dxfId="156" priority="615">
      <formula>$O$86=1</formula>
    </cfRule>
  </conditionalFormatting>
  <conditionalFormatting sqref="K87:M87">
    <cfRule type="expression" dxfId="155" priority="89">
      <formula>$O$86=1</formula>
    </cfRule>
  </conditionalFormatting>
  <conditionalFormatting sqref="L20 L24 L26 L28 L30 L32 B34:L35 N34:N35 L42 L46 L48 L50 L52 L56 L58 L60 L62 L64 L66 L68 L70 L72 L86">
    <cfRule type="expression" dxfId="154" priority="811">
      <formula>$O$34=1</formula>
    </cfRule>
  </conditionalFormatting>
  <conditionalFormatting sqref="L22">
    <cfRule type="expression" dxfId="153" priority="794">
      <formula>$O$34=1</formula>
    </cfRule>
  </conditionalFormatting>
  <conditionalFormatting sqref="L74">
    <cfRule type="expression" dxfId="152" priority="61">
      <formula>$O$34=1</formula>
    </cfRule>
  </conditionalFormatting>
  <conditionalFormatting sqref="L76">
    <cfRule type="expression" dxfId="151" priority="94">
      <formula>$O$34=1</formula>
    </cfRule>
  </conditionalFormatting>
  <conditionalFormatting sqref="L80:M80">
    <cfRule type="expression" dxfId="150" priority="32">
      <formula>$O80=1</formula>
    </cfRule>
  </conditionalFormatting>
  <conditionalFormatting sqref="L82:M82">
    <cfRule type="expression" dxfId="149" priority="2">
      <formula>$O82=1</formula>
    </cfRule>
  </conditionalFormatting>
  <conditionalFormatting sqref="L84:M84">
    <cfRule type="expression" dxfId="148" priority="1">
      <formula>$O84=1</formula>
    </cfRule>
  </conditionalFormatting>
  <conditionalFormatting sqref="M20">
    <cfRule type="expression" dxfId="147" priority="19">
      <formula>$O20=1</formula>
    </cfRule>
  </conditionalFormatting>
  <conditionalFormatting sqref="M21">
    <cfRule type="expression" dxfId="146" priority="5">
      <formula>VALUE(LEFT($L20,SEARCH($Q20,$L20)-1))&gt;VALUE(LEFT($G21,SEARCH($Q20,$G21)-1))</formula>
    </cfRule>
    <cfRule type="expression" dxfId="145" priority="4">
      <formula>VALUE(LEFT($L20,SEARCH($Q20,$L20)-1))&lt;VALUE(LEFT($G21,SEARCH($Q20,$G21)-1))</formula>
    </cfRule>
  </conditionalFormatting>
  <conditionalFormatting sqref="M22">
    <cfRule type="expression" dxfId="144" priority="18">
      <formula>$O22=1</formula>
    </cfRule>
  </conditionalFormatting>
  <conditionalFormatting sqref="M23">
    <cfRule type="expression" dxfId="143" priority="144">
      <formula>VALUE(LEFT($L22,SEARCH($Q22,$L22)-1))&lt;VALUE(LEFT($G23,SEARCH($Q22,$G23)-1))</formula>
    </cfRule>
    <cfRule type="expression" dxfId="142" priority="145">
      <formula>VALUE(LEFT($L22,SEARCH($Q22,$L22)-1))&gt;VALUE(LEFT($G23,SEARCH($Q22,$G23)-1))</formula>
    </cfRule>
  </conditionalFormatting>
  <conditionalFormatting sqref="M24">
    <cfRule type="expression" dxfId="141" priority="17">
      <formula>$O24=1</formula>
    </cfRule>
  </conditionalFormatting>
  <conditionalFormatting sqref="M25">
    <cfRule type="expression" dxfId="140" priority="142">
      <formula>VALUE(LEFT($L24,SEARCH($Q24,$L24)-1))&gt;VALUE(LEFT($G25,SEARCH($Q24,$G25)-1))</formula>
    </cfRule>
    <cfRule type="expression" dxfId="139" priority="141">
      <formula>VALUE(LEFT($L24,SEARCH($Q24,$L24)-1))&lt;VALUE(LEFT($G25,SEARCH($Q24,$G25)-1))</formula>
    </cfRule>
  </conditionalFormatting>
  <conditionalFormatting sqref="M26">
    <cfRule type="expression" dxfId="138" priority="16">
      <formula>$O26=1</formula>
    </cfRule>
  </conditionalFormatting>
  <conditionalFormatting sqref="M27">
    <cfRule type="expression" dxfId="137" priority="139">
      <formula>VALUE(LEFT($L26,SEARCH($Q26,$L26)-1))&gt;VALUE(LEFT($G27,SEARCH($Q26,$G27)-1))</formula>
    </cfRule>
    <cfRule type="expression" dxfId="136" priority="138">
      <formula>VALUE(LEFT($L26,SEARCH($Q26,$L26)-1))&lt;VALUE(LEFT($G27,SEARCH($Q26,$G27)-1))</formula>
    </cfRule>
  </conditionalFormatting>
  <conditionalFormatting sqref="M28">
    <cfRule type="expression" dxfId="135" priority="15">
      <formula>$O28=1</formula>
    </cfRule>
  </conditionalFormatting>
  <conditionalFormatting sqref="M29">
    <cfRule type="expression" dxfId="134" priority="136">
      <formula>VALUE(LEFT($L28,SEARCH($Q28,$L28)-1))&gt;VALUE(LEFT($G29,SEARCH($Q28,$G29)-1))</formula>
    </cfRule>
    <cfRule type="expression" dxfId="133" priority="135">
      <formula>VALUE(LEFT($L28,SEARCH($Q28,$L28)-1))&lt;VALUE(LEFT($G29,SEARCH($Q28,$G29)-1))</formula>
    </cfRule>
  </conditionalFormatting>
  <conditionalFormatting sqref="M30">
    <cfRule type="expression" dxfId="132" priority="14">
      <formula>$O30=1</formula>
    </cfRule>
  </conditionalFormatting>
  <conditionalFormatting sqref="M31">
    <cfRule type="expression" dxfId="131" priority="133">
      <formula>VALUE(LEFT($L30,SEARCH($Q30,$L30)-1))&gt;VALUE(LEFT($G31,SEARCH($Q30,$G31)-1))</formula>
    </cfRule>
    <cfRule type="expression" dxfId="130" priority="132">
      <formula>VALUE(LEFT($L30,SEARCH($Q30,$L30)-1))&lt;VALUE(LEFT($G31,SEARCH($Q30,$G31)-1))</formula>
    </cfRule>
  </conditionalFormatting>
  <conditionalFormatting sqref="M32">
    <cfRule type="expression" dxfId="129" priority="13">
      <formula>$O32=1</formula>
    </cfRule>
  </conditionalFormatting>
  <conditionalFormatting sqref="M33">
    <cfRule type="expression" dxfId="128" priority="129">
      <formula>VALUE(LEFT($L32,SEARCH($Q32,$L32)-1))&lt;VALUE(LEFT($G33,SEARCH($Q32,$G33)-1))</formula>
    </cfRule>
    <cfRule type="expression" dxfId="127" priority="130">
      <formula>VALUE(LEFT($L32,SEARCH($Q32,$L32)-1))&gt;VALUE(LEFT($G33,SEARCH($Q32,$G33)-1))</formula>
    </cfRule>
  </conditionalFormatting>
  <conditionalFormatting sqref="M34">
    <cfRule type="expression" dxfId="126" priority="12">
      <formula>$O34=1</formula>
    </cfRule>
  </conditionalFormatting>
  <conditionalFormatting sqref="M35">
    <cfRule type="expression" dxfId="125" priority="28">
      <formula>VALUE(LEFT($L34,SEARCH($Q34,$L34)-1))&gt;VALUE(LEFT($G35,SEARCH($Q34,$G35)-1))</formula>
    </cfRule>
    <cfRule type="expression" dxfId="124" priority="27">
      <formula>VALUE(LEFT($L34,SEARCH($Q34,$L34)-1))&lt;VALUE(LEFT($G35,SEARCH($Q34,$G35)-1))</formula>
    </cfRule>
  </conditionalFormatting>
  <conditionalFormatting sqref="M36">
    <cfRule type="expression" dxfId="123" priority="11">
      <formula>$O36=1</formula>
    </cfRule>
  </conditionalFormatting>
  <conditionalFormatting sqref="M37">
    <cfRule type="expression" dxfId="122" priority="24">
      <formula>VALUE(LEFT($L36,SEARCH($Q36,$L36)-1))&lt;VALUE(LEFT($G37,SEARCH($Q36,$G37)-1))</formula>
    </cfRule>
    <cfRule type="expression" dxfId="121" priority="25">
      <formula>VALUE(LEFT($L36,SEARCH($Q36,$L36)-1))&gt;VALUE(LEFT($G37,SEARCH($Q36,$G37)-1))</formula>
    </cfRule>
  </conditionalFormatting>
  <conditionalFormatting sqref="M38">
    <cfRule type="expression" dxfId="120" priority="10">
      <formula>$O38=1</formula>
    </cfRule>
  </conditionalFormatting>
  <conditionalFormatting sqref="M39">
    <cfRule type="expression" dxfId="119" priority="21">
      <formula>VALUE(LEFT($L38,SEARCH($Q38,$L38)-1))&lt;VALUE(LEFT($G39,SEARCH($Q38,$G39)-1))</formula>
    </cfRule>
    <cfRule type="expression" dxfId="118" priority="22">
      <formula>VALUE(LEFT($L38,SEARCH($Q38,$L38)-1))&gt;VALUE(LEFT($G39,SEARCH($Q38,$G39)-1))</formula>
    </cfRule>
  </conditionalFormatting>
  <conditionalFormatting sqref="M40">
    <cfRule type="expression" dxfId="117" priority="9">
      <formula>$O40=1</formula>
    </cfRule>
  </conditionalFormatting>
  <conditionalFormatting sqref="M41">
    <cfRule type="expression" dxfId="116" priority="118">
      <formula>VALUE(LEFT($L40,SEARCH($Q40,$L40)-1))&gt;VALUE(LEFT($G41,SEARCH($Q40,$G41)-1))</formula>
    </cfRule>
    <cfRule type="expression" dxfId="115" priority="117">
      <formula>VALUE(LEFT($L40,SEARCH($Q40,$L40)-1))&lt;VALUE(LEFT($G41,SEARCH($Q40,$G41)-1))</formula>
    </cfRule>
  </conditionalFormatting>
  <conditionalFormatting sqref="M42">
    <cfRule type="expression" dxfId="114" priority="8">
      <formula>$O42=1</formula>
    </cfRule>
  </conditionalFormatting>
  <conditionalFormatting sqref="M43">
    <cfRule type="expression" dxfId="113" priority="114">
      <formula>VALUE(LEFT($L42,SEARCH($Q42,$L42)-1))&lt;VALUE(LEFT($G43,SEARCH($Q42,$G43)-1))</formula>
    </cfRule>
    <cfRule type="expression" dxfId="112" priority="115">
      <formula>VALUE(LEFT($L42,SEARCH($Q42,$L42)-1))&gt;VALUE(LEFT($G43,SEARCH($Q42,$G43)-1))</formula>
    </cfRule>
    <cfRule type="expression" dxfId="111" priority="113">
      <formula>$N$20=1</formula>
    </cfRule>
  </conditionalFormatting>
  <conditionalFormatting sqref="M44">
    <cfRule type="expression" dxfId="110" priority="7">
      <formula>$O44=1</formula>
    </cfRule>
  </conditionalFormatting>
  <conditionalFormatting sqref="M45">
    <cfRule type="expression" dxfId="109" priority="154">
      <formula>OR(VALUE(LEFT($L$44,SEARCH("kg",$L$44)-1))&gt;VALUE(LEFT($G$45,SEARCH("kg",$G$45)-1)),VALUE((MID($L$44,SEARCH("+ ",$L$44)+2,(SEARCH("kg weiss",$L$44)-SEARCH("+ ",$L$44)-2))))&gt;VALUE((MID($G$45,SEARCH("+ ",$G$45)+2,(SEARCH("kg weiss",$G$45)-SEARCH("+ ",$G$45)-2)))))</formula>
    </cfRule>
    <cfRule type="expression" dxfId="108" priority="153">
      <formula>AND(VALUE(LEFT($L$44,SEARCH("kg",$L$44)-1))&lt;VALUE(LEFT($G$45,SEARCH("kg",$G$45)-1)),VALUE((MID($L$44,SEARCH("+ ",$L$44)+2,(SEARCH("kg weiss",$L$44)-SEARCH("+ ",$L$44)-2))))&lt;VALUE((MID($G$45,SEARCH("+ ",$G$45)+2,(SEARCH("kg weiss",$G$45)-SEARCH("+ ",$G$45)-2)))))</formula>
    </cfRule>
    <cfRule type="expression" dxfId="107" priority="152">
      <formula>$N$44=1</formula>
    </cfRule>
  </conditionalFormatting>
  <conditionalFormatting sqref="M46">
    <cfRule type="expression" dxfId="106" priority="49">
      <formula>$O46=1</formula>
    </cfRule>
  </conditionalFormatting>
  <conditionalFormatting sqref="M47">
    <cfRule type="expression" dxfId="105" priority="110">
      <formula>$N$20=1</formula>
    </cfRule>
    <cfRule type="expression" dxfId="104" priority="111">
      <formula>VALUE(LEFT($L46,SEARCH($Q46,$L46)-1))&lt;VALUE(LEFT($G47,SEARCH($Q46,$G47)-1))</formula>
    </cfRule>
    <cfRule type="expression" dxfId="103" priority="112">
      <formula>VALUE(LEFT($L46,SEARCH($Q46,$L46)-1))&gt;VALUE(LEFT($G47,SEARCH($Q46,$G47)-1))</formula>
    </cfRule>
  </conditionalFormatting>
  <conditionalFormatting sqref="M48">
    <cfRule type="expression" dxfId="102" priority="48">
      <formula>$O48=1</formula>
    </cfRule>
  </conditionalFormatting>
  <conditionalFormatting sqref="M49">
    <cfRule type="expression" dxfId="101" priority="107">
      <formula>$N$20=1</formula>
    </cfRule>
    <cfRule type="expression" dxfId="100" priority="109">
      <formula>VALUE(LEFT($L48,SEARCH($Q48,$L48)-1))&gt;VALUE(LEFT($G49,SEARCH($Q48,$G49)-1))</formula>
    </cfRule>
    <cfRule type="expression" dxfId="99" priority="108">
      <formula>VALUE(LEFT($L48,SEARCH($Q48,$L48)-1))&lt;VALUE(LEFT($G49,SEARCH($Q48,$G49)-1))</formula>
    </cfRule>
  </conditionalFormatting>
  <conditionalFormatting sqref="M50">
    <cfRule type="expression" dxfId="98" priority="47">
      <formula>$O50=1</formula>
    </cfRule>
  </conditionalFormatting>
  <conditionalFormatting sqref="M51">
    <cfRule type="expression" dxfId="97" priority="105">
      <formula>VALUE(LEFT($L50,SEARCH($Q50,$L50)-1))&lt;VALUE(LEFT($G51,SEARCH($Q50,$G51)-1))</formula>
    </cfRule>
    <cfRule type="expression" dxfId="96" priority="106">
      <formula>VALUE(LEFT($L50,SEARCH($Q50,$L50)-1))&gt;VALUE(LEFT($G51,SEARCH($Q50,$G51)-1))</formula>
    </cfRule>
    <cfRule type="expression" dxfId="95" priority="104">
      <formula>$N$20=1</formula>
    </cfRule>
  </conditionalFormatting>
  <conditionalFormatting sqref="M52">
    <cfRule type="expression" dxfId="94" priority="46">
      <formula>$O52=1</formula>
    </cfRule>
  </conditionalFormatting>
  <conditionalFormatting sqref="M53">
    <cfRule type="expression" dxfId="93" priority="103">
      <formula>VALUE(LEFT($L52,SEARCH($Q52,$L52)-1))&gt;VALUE(LEFT($G53,SEARCH($Q52,$G53)-1))</formula>
    </cfRule>
    <cfRule type="expression" dxfId="92" priority="102">
      <formula>VALUE(LEFT($L52,SEARCH($Q52,$L52)-1))&lt;VALUE(LEFT($G53,SEARCH($Q52,$G53)-1))</formula>
    </cfRule>
    <cfRule type="expression" dxfId="91" priority="101">
      <formula>$N$20=1</formula>
    </cfRule>
  </conditionalFormatting>
  <conditionalFormatting sqref="M54">
    <cfRule type="expression" dxfId="90" priority="45">
      <formula>$O54=1</formula>
    </cfRule>
  </conditionalFormatting>
  <conditionalFormatting sqref="M55">
    <cfRule type="expression" dxfId="89" priority="65">
      <formula>$N$44=1</formula>
    </cfRule>
    <cfRule type="expression" dxfId="88" priority="67">
      <formula>OR(VALUE(LEFT($L$44,SEARCH("kg",$L$44)-1))&gt;VALUE(LEFT($G$45,SEARCH("kg",$G$45)-1)),VALUE((MID($L$44,SEARCH("+ ",$L$44)+2,(SEARCH("kg weiss",$L$44)-SEARCH("+ ",$L$44)-2))))&gt;VALUE((MID($G$45,SEARCH("+ ",$G$45)+2,(SEARCH("kg weiss",$G$45)-SEARCH("+ ",$G$45)-2)))))</formula>
    </cfRule>
    <cfRule type="expression" dxfId="87" priority="66">
      <formula>AND(VALUE(LEFT($L$44,SEARCH("kg",$L$44)-1))&lt;VALUE(LEFT($G$45,SEARCH("kg",$G$45)-1)),VALUE((MID($L$44,SEARCH("+ ",$L$44)+2,(SEARCH("kg weiss",$L$44)-SEARCH("+ ",$L$44)-2))))&lt;VALUE((MID($G$45,SEARCH("+ ",$G$45)+2,(SEARCH("kg weiss",$G$45)-SEARCH("+ ",$G$45)-2)))))</formula>
    </cfRule>
  </conditionalFormatting>
  <conditionalFormatting sqref="M56">
    <cfRule type="expression" dxfId="86" priority="44">
      <formula>$O56=1</formula>
    </cfRule>
  </conditionalFormatting>
  <conditionalFormatting sqref="M57">
    <cfRule type="expression" dxfId="85" priority="284">
      <formula>VALUE(LEFT($L56,SEARCH($Q56,$L56)-1))&lt;VALUE(LEFT($G56,SEARCH($Q56,$G56)-1))</formula>
    </cfRule>
    <cfRule type="expression" dxfId="84" priority="283">
      <formula>$N$20=1</formula>
    </cfRule>
    <cfRule type="expression" dxfId="83" priority="285">
      <formula>VALUE(LEFT($L56,SEARCH($Q56,$L56)-1))&gt;VALUE(LEFT($G56,SEARCH($Q56,$G56)-1))</formula>
    </cfRule>
  </conditionalFormatting>
  <conditionalFormatting sqref="M58">
    <cfRule type="expression" dxfId="82" priority="43">
      <formula>$O58=1</formula>
    </cfRule>
  </conditionalFormatting>
  <conditionalFormatting sqref="M59">
    <cfRule type="expression" dxfId="81" priority="86">
      <formula>$N$20=1</formula>
    </cfRule>
    <cfRule type="expression" dxfId="80" priority="87">
      <formula>VALUE(LEFT($L58,SEARCH($Q58,$L58)-1))&lt;VALUE(LEFT($G58,SEARCH($Q58,$G58)-1))</formula>
    </cfRule>
    <cfRule type="expression" dxfId="79" priority="88">
      <formula>VALUE(LEFT($L58,SEARCH($Q58,$L58)-1))&gt;VALUE(LEFT($G58,SEARCH($Q58,$G58)-1))</formula>
    </cfRule>
  </conditionalFormatting>
  <conditionalFormatting sqref="M60">
    <cfRule type="expression" dxfId="78" priority="42">
      <formula>$O60=1</formula>
    </cfRule>
  </conditionalFormatting>
  <conditionalFormatting sqref="M61">
    <cfRule type="expression" dxfId="77" priority="100">
      <formula>VALUE(LEFT($L60,SEARCH($Q60,$L60)-1))&gt;VALUE(LEFT($G61,SEARCH($Q60,$G61)-1))</formula>
    </cfRule>
    <cfRule type="expression" dxfId="76" priority="99">
      <formula>VALUE(LEFT($L60,SEARCH($Q60,$L60)-1))&lt;VALUE(LEFT($G61,SEARCH($Q60,$G61)-1))</formula>
    </cfRule>
    <cfRule type="expression" dxfId="75" priority="98">
      <formula>$N$20=1</formula>
    </cfRule>
  </conditionalFormatting>
  <conditionalFormatting sqref="M62">
    <cfRule type="expression" dxfId="74" priority="41">
      <formula>$O62=1</formula>
    </cfRule>
  </conditionalFormatting>
  <conditionalFormatting sqref="M63">
    <cfRule type="expression" dxfId="73" priority="84">
      <formula>VALUE(LEFT($L62,SEARCH($Q62,$L62)-1))&lt;VALUE(LEFT($G62,SEARCH($Q62,$G62)-1))</formula>
    </cfRule>
    <cfRule type="expression" dxfId="72" priority="83">
      <formula>$N$20=1</formula>
    </cfRule>
    <cfRule type="expression" dxfId="71" priority="85">
      <formula>VALUE(LEFT($L62,SEARCH($Q62,$L62)-1))&gt;VALUE(LEFT($G62,SEARCH($Q62,$G62)-1))</formula>
    </cfRule>
  </conditionalFormatting>
  <conditionalFormatting sqref="M64">
    <cfRule type="expression" dxfId="70" priority="40">
      <formula>$O64=1</formula>
    </cfRule>
  </conditionalFormatting>
  <conditionalFormatting sqref="M65">
    <cfRule type="expression" dxfId="69" priority="82">
      <formula>VALUE(LEFT($L64,SEARCH($Q64,$L64)-1))&gt;VALUE(LEFT($G64,SEARCH($Q64,$G64)-1))</formula>
    </cfRule>
    <cfRule type="expression" dxfId="68" priority="81">
      <formula>VALUE(LEFT($L64,SEARCH($Q64,$L64)-1))&lt;VALUE(LEFT($G64,SEARCH($Q64,$G64)-1))</formula>
    </cfRule>
    <cfRule type="expression" dxfId="67" priority="80">
      <formula>$N$20=1</formula>
    </cfRule>
  </conditionalFormatting>
  <conditionalFormatting sqref="M66">
    <cfRule type="expression" dxfId="66" priority="39">
      <formula>$O66=1</formula>
    </cfRule>
  </conditionalFormatting>
  <conditionalFormatting sqref="M67">
    <cfRule type="expression" dxfId="65" priority="78">
      <formula>VALUE(LEFT($L66,SEARCH($Q66,$L66)-1))&lt;VALUE(LEFT($G66,SEARCH($Q66,$G66)-1))</formula>
    </cfRule>
    <cfRule type="expression" dxfId="64" priority="79">
      <formula>VALUE(LEFT($L66,SEARCH($Q66,$L66)-1))&gt;VALUE(LEFT($G66,SEARCH($Q66,$G66)-1))</formula>
    </cfRule>
    <cfRule type="expression" dxfId="63" priority="77">
      <formula>$N$20=1</formula>
    </cfRule>
  </conditionalFormatting>
  <conditionalFormatting sqref="M68">
    <cfRule type="expression" dxfId="62" priority="38">
      <formula>$O68=1</formula>
    </cfRule>
  </conditionalFormatting>
  <conditionalFormatting sqref="M69">
    <cfRule type="expression" dxfId="61" priority="76">
      <formula>VALUE(LEFT($L68,SEARCH($Q68,$L68)-1))&gt;VALUE(LEFT($G69,SEARCH($Q68,$G69)-1))</formula>
    </cfRule>
    <cfRule type="expression" dxfId="60" priority="75">
      <formula>VALUE(LEFT($L68,SEARCH($Q68,$L68)-1))&lt;VALUE(LEFT($G69,SEARCH($Q68,$G69)-1))</formula>
    </cfRule>
    <cfRule type="expression" dxfId="59" priority="74">
      <formula>$N$20=1</formula>
    </cfRule>
  </conditionalFormatting>
  <conditionalFormatting sqref="M70">
    <cfRule type="expression" dxfId="58" priority="37">
      <formula>$O70=1</formula>
    </cfRule>
  </conditionalFormatting>
  <conditionalFormatting sqref="M71">
    <cfRule type="expression" dxfId="57" priority="73">
      <formula>VALUE(LEFT($L70,SEARCH($Q70,$L70)-1))&gt;VALUE(LEFT($G70,SEARCH($Q70,$G70)-1))</formula>
    </cfRule>
    <cfRule type="expression" dxfId="56" priority="72">
      <formula>VALUE(LEFT($L70,SEARCH($Q70,$L70)-1))&lt;VALUE(LEFT($G70,SEARCH($Q70,$G70)-1))</formula>
    </cfRule>
    <cfRule type="expression" dxfId="55" priority="71">
      <formula>$N$20=1</formula>
    </cfRule>
  </conditionalFormatting>
  <conditionalFormatting sqref="M72">
    <cfRule type="expression" dxfId="54" priority="36">
      <formula>$O72=1</formula>
    </cfRule>
  </conditionalFormatting>
  <conditionalFormatting sqref="M73">
    <cfRule type="expression" dxfId="53" priority="70">
      <formula>VALUE(LEFT($L72,SEARCH($Q72,$L72)-1))&gt;VALUE(LEFT($G73,SEARCH($Q72,$G73)-1))</formula>
    </cfRule>
    <cfRule type="expression" dxfId="52" priority="69">
      <formula>VALUE(LEFT($L72,SEARCH($Q72,$L72)-1))&lt;VALUE(LEFT($G73,SEARCH($Q72,$G73)-1))</formula>
    </cfRule>
    <cfRule type="expression" dxfId="51" priority="68">
      <formula>$N$20=1</formula>
    </cfRule>
  </conditionalFormatting>
  <conditionalFormatting sqref="M74">
    <cfRule type="expression" dxfId="50" priority="35">
      <formula>$O74=1</formula>
    </cfRule>
  </conditionalFormatting>
  <conditionalFormatting sqref="M75">
    <cfRule type="expression" dxfId="49" priority="95">
      <formula>$N$20=1</formula>
    </cfRule>
    <cfRule type="expression" dxfId="48" priority="96">
      <formula>VALUE(LEFT($L74,SEARCH($Q74,$L74)-1))&lt;VALUE(LEFT($G75,SEARCH($Q74,$G75)-1))</formula>
    </cfRule>
    <cfRule type="expression" dxfId="47" priority="97">
      <formula>VALUE(LEFT($L74,SEARCH($Q74,$L74)-1))&gt;VALUE(LEFT($G75,SEARCH($Q74,$G75)-1))</formula>
    </cfRule>
  </conditionalFormatting>
  <conditionalFormatting sqref="M76">
    <cfRule type="expression" dxfId="46" priority="34">
      <formula>$O76=1</formula>
    </cfRule>
  </conditionalFormatting>
  <conditionalFormatting sqref="M77">
    <cfRule type="expression" dxfId="45" priority="92">
      <formula>VALUE(LEFT($L76,SEARCH($Q76,$L76)-1))&lt;VALUE(LEFT($G77,SEARCH($Q76,$G77)-1))</formula>
    </cfRule>
    <cfRule type="expression" dxfId="44" priority="63">
      <formula>$N$20=1</formula>
    </cfRule>
    <cfRule type="expression" dxfId="43" priority="93">
      <formula>VALUE(LEFT($L76,SEARCH($Q76,$L76)-1))&gt;VALUE(LEFT($G77,SEARCH($Q76,$G77)-1))</formula>
    </cfRule>
  </conditionalFormatting>
  <conditionalFormatting sqref="M78">
    <cfRule type="expression" dxfId="42" priority="33">
      <formula>$O78=1</formula>
    </cfRule>
  </conditionalFormatting>
  <conditionalFormatting sqref="M79">
    <cfRule type="expression" dxfId="41" priority="189">
      <formula>$N$20=1</formula>
    </cfRule>
    <cfRule type="expression" dxfId="40" priority="190">
      <formula>VALUE(LEFT($L78,SEARCH($Q78,$L78)-1))&lt;VALUE(LEFT($G78,SEARCH($Q78,$G78)-1))</formula>
    </cfRule>
    <cfRule type="expression" dxfId="39" priority="191">
      <formula>VALUE(LEFT($L78,SEARCH($Q78,$L78)-1))&gt;VALUE(LEFT($G78,SEARCH($Q78,$G78)-1))</formula>
    </cfRule>
  </conditionalFormatting>
  <conditionalFormatting sqref="M81">
    <cfRule type="expression" dxfId="38" priority="165">
      <formula>VALUE(LEFT($L80,SEARCH($Q80,$L80)-1))&lt;VALUE(LEFT($G80,SEARCH($Q80,$G80)-1))</formula>
    </cfRule>
    <cfRule type="expression" dxfId="37" priority="166">
      <formula>VALUE(LEFT($L80,SEARCH($Q80,$L80)-1))&gt;VALUE(LEFT($G80,SEARCH($Q80,$G80)-1))</formula>
    </cfRule>
    <cfRule type="expression" dxfId="36" priority="164">
      <formula>$N$20=1</formula>
    </cfRule>
  </conditionalFormatting>
  <conditionalFormatting sqref="M83">
    <cfRule type="expression" dxfId="35" priority="161">
      <formula>$N$20=1</formula>
    </cfRule>
    <cfRule type="expression" dxfId="34" priority="163">
      <formula>VALUE(LEFT($L82,SEARCH($Q82,$L82)-1))&gt;VALUE(LEFT($G82,SEARCH($Q82,$G82)-1))</formula>
    </cfRule>
    <cfRule type="expression" dxfId="33" priority="162">
      <formula>VALUE(LEFT($L82,SEARCH($Q82,$L82)-1))&lt;VALUE(LEFT($G82,SEARCH($Q82,$G82)-1))</formula>
    </cfRule>
  </conditionalFormatting>
  <conditionalFormatting sqref="M85">
    <cfRule type="expression" dxfId="32" priority="158">
      <formula>$N$20=1</formula>
    </cfRule>
    <cfRule type="expression" dxfId="31" priority="160">
      <formula>VALUE(LEFT($L84,SEARCH($Q84,$L84)-1))&gt;VALUE(LEFT($G84,SEARCH($Q84,$G84)-1))</formula>
    </cfRule>
    <cfRule type="expression" dxfId="30" priority="159">
      <formula>VALUE(LEFT($L84,SEARCH($Q84,$L84)-1))&lt;VALUE(LEFT($G84,SEARCH($Q84,$G84)-1))</formula>
    </cfRule>
  </conditionalFormatting>
  <conditionalFormatting sqref="M86">
    <cfRule type="expression" dxfId="29" priority="29">
      <formula>$O86=1</formula>
    </cfRule>
  </conditionalFormatting>
  <conditionalFormatting sqref="M87">
    <cfRule type="expression" dxfId="28" priority="91">
      <formula>VALUE(LEFT($L86,SEARCH($Q86,$L86)-1))&gt;VALUE(LEFT($G87,SEARCH($Q86,$G87)-1))</formula>
    </cfRule>
    <cfRule type="expression" dxfId="27" priority="90">
      <formula>VALUE(LEFT($L86,SEARCH($Q86,$L86)-1))&lt;VALUE(LEFT($G87,SEARCH($Q86,$G87)-1))</formula>
    </cfRule>
  </conditionalFormatting>
  <conditionalFormatting sqref="N20:N21">
    <cfRule type="expression" dxfId="26" priority="548">
      <formula>$O$20=1</formula>
    </cfRule>
  </conditionalFormatting>
  <conditionalFormatting sqref="N22:N23">
    <cfRule type="expression" dxfId="25" priority="547">
      <formula>$O$22=1</formula>
    </cfRule>
  </conditionalFormatting>
  <conditionalFormatting sqref="N24:N25">
    <cfRule type="expression" dxfId="24" priority="546">
      <formula>$O$24=1</formula>
    </cfRule>
  </conditionalFormatting>
  <conditionalFormatting sqref="N26:N27">
    <cfRule type="expression" dxfId="23" priority="545">
      <formula>$O$26=1</formula>
    </cfRule>
  </conditionalFormatting>
  <conditionalFormatting sqref="N28:N29">
    <cfRule type="expression" dxfId="22" priority="544">
      <formula>$O$28=1</formula>
    </cfRule>
  </conditionalFormatting>
  <conditionalFormatting sqref="N30:N31">
    <cfRule type="expression" dxfId="21" priority="543">
      <formula>$O$30=1</formula>
    </cfRule>
  </conditionalFormatting>
  <conditionalFormatting sqref="N32:N33">
    <cfRule type="expression" dxfId="20" priority="542">
      <formula>$O$32=1</formula>
    </cfRule>
  </conditionalFormatting>
  <conditionalFormatting sqref="N38:N39">
    <cfRule type="expression" dxfId="19" priority="798">
      <formula>$O$38=1</formula>
    </cfRule>
  </conditionalFormatting>
  <conditionalFormatting sqref="N42:N43">
    <cfRule type="expression" dxfId="18" priority="537">
      <formula>$O$42=1</formula>
    </cfRule>
  </conditionalFormatting>
  <conditionalFormatting sqref="N46:N47">
    <cfRule type="expression" dxfId="17" priority="535">
      <formula>$O$46=1</formula>
    </cfRule>
  </conditionalFormatting>
  <conditionalFormatting sqref="N48:N49">
    <cfRule type="expression" dxfId="16" priority="534">
      <formula>$O$48=1</formula>
    </cfRule>
  </conditionalFormatting>
  <conditionalFormatting sqref="N50:N51">
    <cfRule type="expression" dxfId="15" priority="533">
      <formula>$O$50=1</formula>
    </cfRule>
  </conditionalFormatting>
  <conditionalFormatting sqref="N52:N53">
    <cfRule type="expression" dxfId="14" priority="532">
      <formula>$O$52=1</formula>
    </cfRule>
  </conditionalFormatting>
  <conditionalFormatting sqref="N56:N57">
    <cfRule type="expression" dxfId="13" priority="530">
      <formula>$O$56=1</formula>
    </cfRule>
  </conditionalFormatting>
  <conditionalFormatting sqref="N58:N59">
    <cfRule type="expression" dxfId="12" priority="529">
      <formula>$O$58=1</formula>
    </cfRule>
  </conditionalFormatting>
  <conditionalFormatting sqref="N60:N61">
    <cfRule type="expression" dxfId="11" priority="528">
      <formula>$O$60=1</formula>
    </cfRule>
  </conditionalFormatting>
  <conditionalFormatting sqref="N62:N63">
    <cfRule type="expression" dxfId="10" priority="527">
      <formula>$O$62=1</formula>
    </cfRule>
  </conditionalFormatting>
  <conditionalFormatting sqref="N64:N65">
    <cfRule type="expression" dxfId="9" priority="526">
      <formula>$O$64=1</formula>
    </cfRule>
  </conditionalFormatting>
  <conditionalFormatting sqref="N66:N67">
    <cfRule type="expression" dxfId="8" priority="525">
      <formula>$O$66=1</formula>
    </cfRule>
  </conditionalFormatting>
  <conditionalFormatting sqref="N68:N69">
    <cfRule type="expression" dxfId="7" priority="524">
      <formula>$O$68=1</formula>
    </cfRule>
  </conditionalFormatting>
  <conditionalFormatting sqref="N70:N71">
    <cfRule type="expression" dxfId="6" priority="523">
      <formula>$O$70=1</formula>
    </cfRule>
  </conditionalFormatting>
  <conditionalFormatting sqref="N72:N73">
    <cfRule type="expression" dxfId="5" priority="522">
      <formula>$O$72=1</formula>
    </cfRule>
  </conditionalFormatting>
  <conditionalFormatting sqref="N74:N75">
    <cfRule type="expression" dxfId="4" priority="155">
      <formula>$O$74=1</formula>
    </cfRule>
  </conditionalFormatting>
  <conditionalFormatting sqref="N80:N81">
    <cfRule type="expression" dxfId="3" priority="519">
      <formula>$O$80=1</formula>
    </cfRule>
  </conditionalFormatting>
  <conditionalFormatting sqref="N82:N83">
    <cfRule type="expression" dxfId="2" priority="518">
      <formula>$O$82=1</formula>
    </cfRule>
  </conditionalFormatting>
  <conditionalFormatting sqref="N84:N85">
    <cfRule type="expression" dxfId="1" priority="517">
      <formula>$O$84=1</formula>
    </cfRule>
  </conditionalFormatting>
  <conditionalFormatting sqref="N86:N87">
    <cfRule type="expression" dxfId="0" priority="516">
      <formula>$O$86=1</formula>
    </cfRule>
  </conditionalFormatting>
  <hyperlinks>
    <hyperlink ref="I44:I45" location="'4_Berechnung'!D18" display="Siehe Berechnung-Sheet" xr:uid="{00000000-0004-0000-0800-000000000000}"/>
    <hyperlink ref="I54:I55" location="'4_Berechnung'!D23" display="Siehe Berechnung-Sheet" xr:uid="{00000000-0004-0000-0800-000001000000}"/>
    <hyperlink ref="I30:I31" location="'4_Berechnung'!D8" display="Siehe Berechnung-Sheet" xr:uid="{506F958B-85E7-46F1-8FDB-C5A3318E5F3A}"/>
    <hyperlink ref="I40:I41" location="'4_Berechnung'!D13" display="Siehe Berechnung-Sheet" xr:uid="{00000000-0004-0000-0800-000002000000}"/>
    <hyperlink ref="I86" location="'4_Berechnung'!D28" display="Siehe Berechnung-Sheet" xr:uid="{C5E11E27-EF3E-458A-8B52-26AB66A2AC0A}"/>
  </hyperlinks>
  <pageMargins left="0.7" right="0.7" top="0.75" bottom="0.75" header="0.3" footer="0.3"/>
  <pageSetup paperSize="9" scale="55" fitToHeight="0" orientation="landscape" horizontalDpi="300" r:id="rId1"/>
  <rowBreaks count="2" manualBreakCount="2">
    <brk id="43" max="14" man="1"/>
    <brk id="70" max="14"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2"/>
  <dimension ref="A1:AL191"/>
  <sheetViews>
    <sheetView zoomScale="90" zoomScaleNormal="90" zoomScaleSheetLayoutView="85" workbookViewId="0">
      <pane ySplit="2" topLeftCell="A13" activePane="bottomLeft" state="frozen"/>
      <selection pane="bottomLeft" activeCell="D30" sqref="D30:H30"/>
    </sheetView>
  </sheetViews>
  <sheetFormatPr baseColWidth="10" defaultColWidth="11.42578125" defaultRowHeight="14.25"/>
  <cols>
    <col min="1" max="1" width="11.42578125" style="142"/>
    <col min="2" max="2" width="1.42578125" style="142" customWidth="1"/>
    <col min="3" max="3" width="2.140625" style="142" customWidth="1"/>
    <col min="4" max="4" width="16.140625" style="142" customWidth="1"/>
    <col min="5" max="9" width="13.5703125" style="142" customWidth="1"/>
    <col min="10" max="11" width="11.42578125" style="142"/>
    <col min="12" max="12" width="8.140625" style="142" customWidth="1"/>
    <col min="13" max="13" width="21.85546875" style="143" customWidth="1"/>
    <col min="14" max="14" width="21.5703125" style="142" hidden="1" customWidth="1"/>
    <col min="15" max="15" width="15.42578125" style="142" hidden="1" customWidth="1"/>
    <col min="16" max="16" width="17.42578125" style="142" customWidth="1"/>
    <col min="17" max="16384" width="11.42578125" style="142"/>
  </cols>
  <sheetData>
    <row r="1" spans="1:38" s="126" customFormat="1" ht="21.75" customHeight="1">
      <c r="B1" s="125" t="s">
        <v>381</v>
      </c>
    </row>
    <row r="2" spans="1:38" s="128" customFormat="1" ht="87" customHeight="1">
      <c r="B2" s="127"/>
    </row>
    <row r="3" spans="1:38" s="129" customFormat="1" ht="7.5" customHeight="1" thickBot="1">
      <c r="A3" s="389"/>
      <c r="B3" s="389"/>
      <c r="C3" s="127"/>
      <c r="D3" s="436"/>
      <c r="E3" s="436"/>
      <c r="F3" s="436"/>
      <c r="G3" s="436"/>
      <c r="H3" s="437"/>
      <c r="I3" s="437"/>
      <c r="J3" s="430"/>
      <c r="K3" s="430"/>
      <c r="L3" s="431"/>
      <c r="M3" s="431"/>
      <c r="N3" s="431"/>
      <c r="O3" s="431"/>
      <c r="P3" s="389"/>
      <c r="Q3" s="389"/>
      <c r="R3" s="389"/>
      <c r="S3" s="389"/>
      <c r="T3" s="389"/>
      <c r="U3" s="389"/>
      <c r="V3" s="389"/>
      <c r="W3" s="389"/>
      <c r="X3" s="389"/>
      <c r="Y3" s="389"/>
      <c r="Z3" s="389"/>
      <c r="AA3" s="389"/>
      <c r="AB3" s="389"/>
      <c r="AC3" s="389"/>
      <c r="AD3" s="389"/>
      <c r="AE3" s="389"/>
      <c r="AF3" s="389"/>
      <c r="AG3" s="389"/>
      <c r="AH3" s="389"/>
      <c r="AI3" s="389"/>
      <c r="AJ3" s="389"/>
      <c r="AK3" s="389"/>
      <c r="AL3" s="389"/>
    </row>
    <row r="4" spans="1:38" s="129" customFormat="1" ht="18.75" thickTop="1">
      <c r="A4" s="389"/>
      <c r="B4" s="130"/>
      <c r="C4" s="131"/>
      <c r="D4" s="132"/>
      <c r="E4" s="132"/>
      <c r="F4" s="132"/>
      <c r="G4" s="132"/>
      <c r="H4" s="133"/>
      <c r="I4" s="133"/>
      <c r="J4" s="134"/>
      <c r="K4" s="430"/>
      <c r="L4" s="389"/>
      <c r="M4" s="389"/>
      <c r="N4" s="389"/>
      <c r="O4" s="389"/>
      <c r="P4" s="389"/>
      <c r="Q4" s="389"/>
      <c r="R4" s="389"/>
      <c r="S4" s="389"/>
      <c r="T4" s="389"/>
      <c r="U4" s="389"/>
      <c r="V4" s="389"/>
      <c r="W4" s="389"/>
      <c r="X4" s="389"/>
      <c r="Y4" s="389"/>
      <c r="Z4" s="389"/>
      <c r="AA4" s="389"/>
      <c r="AB4" s="389"/>
      <c r="AC4" s="389"/>
      <c r="AD4" s="389"/>
      <c r="AE4" s="389"/>
      <c r="AF4" s="389"/>
      <c r="AG4" s="389"/>
      <c r="AH4" s="389"/>
      <c r="AI4" s="389"/>
      <c r="AJ4" s="389"/>
      <c r="AK4" s="389"/>
      <c r="AL4" s="389"/>
    </row>
    <row r="5" spans="1:38" s="129" customFormat="1" ht="35.1" customHeight="1">
      <c r="A5" s="389"/>
      <c r="B5" s="135"/>
      <c r="C5" s="136"/>
      <c r="D5" s="612" t="s">
        <v>382</v>
      </c>
      <c r="E5" s="612"/>
      <c r="F5" s="612"/>
      <c r="G5" s="612"/>
      <c r="H5" s="612"/>
      <c r="I5" s="612"/>
      <c r="J5" s="138"/>
      <c r="K5" s="432"/>
      <c r="L5" s="389"/>
      <c r="M5" s="389"/>
      <c r="N5" s="389"/>
      <c r="O5" s="389"/>
      <c r="P5" s="389"/>
      <c r="Q5" s="389"/>
      <c r="R5" s="389"/>
      <c r="S5" s="389"/>
      <c r="T5" s="389"/>
      <c r="U5" s="389"/>
      <c r="V5" s="389"/>
      <c r="W5" s="389"/>
      <c r="X5" s="389"/>
      <c r="Y5" s="389"/>
      <c r="Z5" s="389"/>
      <c r="AA5" s="389"/>
      <c r="AB5" s="389"/>
      <c r="AC5" s="389"/>
      <c r="AD5" s="389"/>
      <c r="AE5" s="389"/>
      <c r="AF5" s="389"/>
      <c r="AG5" s="389"/>
      <c r="AH5" s="389"/>
      <c r="AI5" s="389"/>
      <c r="AJ5" s="389"/>
      <c r="AK5" s="389"/>
      <c r="AL5" s="389"/>
    </row>
    <row r="6" spans="1:38" s="129" customFormat="1" ht="47.1" hidden="1" customHeight="1">
      <c r="A6" s="389"/>
      <c r="B6" s="135"/>
      <c r="C6" s="136"/>
      <c r="D6" s="137"/>
      <c r="E6" s="137"/>
      <c r="F6" s="137"/>
      <c r="G6" s="137"/>
      <c r="H6" s="137"/>
      <c r="I6" s="137"/>
      <c r="J6" s="138"/>
      <c r="K6" s="432"/>
      <c r="L6" s="389"/>
      <c r="M6" s="389"/>
      <c r="N6" s="389"/>
      <c r="O6" s="389"/>
      <c r="P6" s="389"/>
      <c r="Q6" s="389"/>
      <c r="R6" s="389"/>
      <c r="S6" s="389"/>
      <c r="T6" s="389"/>
      <c r="U6" s="389"/>
      <c r="V6" s="389"/>
      <c r="W6" s="389"/>
      <c r="X6" s="389"/>
      <c r="Y6" s="389"/>
      <c r="Z6" s="389"/>
      <c r="AA6" s="389"/>
      <c r="AB6" s="389"/>
      <c r="AC6" s="389"/>
      <c r="AD6" s="389"/>
      <c r="AE6" s="389"/>
      <c r="AF6" s="389"/>
      <c r="AG6" s="389"/>
      <c r="AH6" s="389"/>
      <c r="AI6" s="389"/>
      <c r="AJ6" s="389"/>
      <c r="AK6" s="389"/>
      <c r="AL6" s="389"/>
    </row>
    <row r="7" spans="1:38" s="129" customFormat="1" ht="47.1" hidden="1" customHeight="1">
      <c r="A7" s="389"/>
      <c r="B7" s="135"/>
      <c r="C7" s="136"/>
      <c r="D7" s="137"/>
      <c r="E7" s="137"/>
      <c r="F7" s="137"/>
      <c r="G7" s="137"/>
      <c r="H7" s="137"/>
      <c r="I7" s="137"/>
      <c r="J7" s="138"/>
      <c r="K7" s="432"/>
      <c r="L7" s="389"/>
      <c r="M7" s="389"/>
      <c r="N7" s="389"/>
      <c r="O7" s="389"/>
      <c r="P7" s="389"/>
      <c r="Q7" s="389"/>
      <c r="R7" s="389"/>
      <c r="S7" s="389"/>
      <c r="T7" s="389"/>
      <c r="U7" s="389"/>
      <c r="V7" s="389"/>
      <c r="W7" s="389"/>
      <c r="X7" s="389"/>
      <c r="Y7" s="389"/>
      <c r="Z7" s="389"/>
      <c r="AA7" s="389"/>
      <c r="AB7" s="389"/>
      <c r="AC7" s="389"/>
      <c r="AD7" s="389"/>
      <c r="AE7" s="389"/>
      <c r="AF7" s="389"/>
      <c r="AG7" s="389"/>
      <c r="AH7" s="389"/>
      <c r="AI7" s="389"/>
      <c r="AJ7" s="389"/>
      <c r="AK7" s="389"/>
      <c r="AL7" s="389"/>
    </row>
    <row r="8" spans="1:38" ht="15">
      <c r="A8" s="390"/>
      <c r="B8" s="139"/>
      <c r="C8" s="144"/>
      <c r="D8" s="144" t="s">
        <v>383</v>
      </c>
      <c r="E8" s="140"/>
      <c r="F8" s="140"/>
      <c r="G8" s="140"/>
      <c r="H8" s="140"/>
      <c r="I8" s="140"/>
      <c r="J8" s="141"/>
      <c r="K8" s="390"/>
      <c r="L8" s="390"/>
      <c r="M8" s="395"/>
      <c r="N8" s="390"/>
      <c r="O8" s="390"/>
      <c r="P8" s="390"/>
      <c r="Q8" s="390"/>
      <c r="R8" s="390"/>
      <c r="S8" s="390"/>
      <c r="T8" s="390"/>
      <c r="U8" s="390"/>
      <c r="V8" s="390"/>
      <c r="W8" s="390"/>
      <c r="X8" s="390"/>
      <c r="Y8" s="390"/>
      <c r="Z8" s="390"/>
      <c r="AA8" s="390"/>
      <c r="AB8" s="390"/>
      <c r="AC8" s="390"/>
      <c r="AD8" s="390"/>
      <c r="AE8" s="390"/>
      <c r="AF8" s="390"/>
      <c r="AG8" s="390"/>
      <c r="AH8" s="390"/>
      <c r="AI8" s="390"/>
      <c r="AJ8" s="390"/>
      <c r="AK8" s="390"/>
      <c r="AL8" s="390"/>
    </row>
    <row r="9" spans="1:38" ht="30" customHeight="1">
      <c r="A9" s="390"/>
      <c r="B9" s="139"/>
      <c r="C9" s="140"/>
      <c r="D9" s="613" t="s">
        <v>384</v>
      </c>
      <c r="E9" s="613"/>
      <c r="F9" s="613"/>
      <c r="G9" s="613"/>
      <c r="H9" s="613"/>
      <c r="I9" s="613"/>
      <c r="J9" s="141"/>
      <c r="K9" s="390"/>
      <c r="L9" s="390"/>
      <c r="M9" s="395"/>
      <c r="N9" s="390"/>
      <c r="O9" s="390"/>
      <c r="P9" s="390"/>
      <c r="Q9" s="390"/>
      <c r="R9" s="390"/>
      <c r="S9" s="390"/>
      <c r="T9" s="390"/>
      <c r="U9" s="390"/>
      <c r="V9" s="390"/>
      <c r="W9" s="390"/>
      <c r="X9" s="390"/>
      <c r="Y9" s="390"/>
      <c r="Z9" s="390"/>
      <c r="AA9" s="390"/>
      <c r="AB9" s="390"/>
      <c r="AC9" s="390"/>
      <c r="AD9" s="390"/>
      <c r="AE9" s="390"/>
      <c r="AF9" s="390"/>
      <c r="AG9" s="390"/>
      <c r="AH9" s="390"/>
      <c r="AI9" s="390"/>
      <c r="AJ9" s="390"/>
      <c r="AK9" s="390"/>
      <c r="AL9" s="390"/>
    </row>
    <row r="10" spans="1:38" s="143" customFormat="1" ht="15.75" customHeight="1" thickBot="1">
      <c r="A10" s="395"/>
      <c r="B10" s="146"/>
      <c r="C10" s="144"/>
      <c r="D10" s="190" t="s">
        <v>385</v>
      </c>
      <c r="E10" s="190" t="s">
        <v>312</v>
      </c>
      <c r="F10" s="190" t="s">
        <v>310</v>
      </c>
      <c r="G10" s="190" t="s">
        <v>315</v>
      </c>
      <c r="H10" s="144"/>
      <c r="I10" s="190" t="s">
        <v>386</v>
      </c>
      <c r="J10" s="148"/>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395"/>
      <c r="AH10" s="395"/>
      <c r="AI10" s="395"/>
      <c r="AJ10" s="395"/>
      <c r="AK10" s="395"/>
      <c r="AL10" s="395"/>
    </row>
    <row r="11" spans="1:38" ht="20.45" customHeight="1" thickBot="1">
      <c r="A11" s="390"/>
      <c r="B11" s="139"/>
      <c r="C11" s="140"/>
      <c r="D11" s="191"/>
      <c r="E11" s="191"/>
      <c r="F11" s="191"/>
      <c r="G11" s="191"/>
      <c r="H11" s="145"/>
      <c r="I11" s="191">
        <f>1*D11+11.8*E11+4.2*0.99*F11+8.1*G11</f>
        <v>0</v>
      </c>
      <c r="J11" s="141"/>
      <c r="K11" s="390"/>
      <c r="L11" s="390"/>
      <c r="M11" s="395"/>
      <c r="N11" s="390"/>
      <c r="O11" s="390"/>
      <c r="P11" s="390"/>
      <c r="Q11" s="390"/>
      <c r="R11" s="390"/>
      <c r="S11" s="390"/>
      <c r="T11" s="390"/>
      <c r="U11" s="390"/>
      <c r="V11" s="390"/>
      <c r="W11" s="390"/>
      <c r="X11" s="390"/>
      <c r="Y11" s="390"/>
      <c r="Z11" s="390"/>
      <c r="AA11" s="390"/>
      <c r="AB11" s="390"/>
      <c r="AC11" s="390"/>
      <c r="AD11" s="390"/>
      <c r="AE11" s="390"/>
      <c r="AF11" s="390"/>
      <c r="AG11" s="390"/>
      <c r="AH11" s="390"/>
      <c r="AI11" s="390"/>
      <c r="AJ11" s="390"/>
      <c r="AK11" s="390"/>
      <c r="AL11" s="390"/>
    </row>
    <row r="12" spans="1:38" ht="15">
      <c r="A12" s="390"/>
      <c r="B12" s="139"/>
      <c r="C12" s="144"/>
      <c r="D12" s="144"/>
      <c r="E12" s="140"/>
      <c r="F12" s="140"/>
      <c r="G12" s="140"/>
      <c r="H12" s="140"/>
      <c r="I12" s="140"/>
      <c r="J12" s="141"/>
      <c r="K12" s="390"/>
      <c r="L12" s="390"/>
      <c r="M12" s="395"/>
      <c r="N12" s="390"/>
      <c r="O12" s="390"/>
      <c r="P12" s="390"/>
      <c r="Q12" s="390"/>
      <c r="R12" s="390"/>
      <c r="S12" s="390"/>
      <c r="T12" s="390"/>
      <c r="U12" s="390"/>
      <c r="V12" s="390"/>
      <c r="W12" s="390"/>
      <c r="X12" s="390"/>
      <c r="Y12" s="390"/>
      <c r="Z12" s="390"/>
      <c r="AA12" s="390"/>
      <c r="AB12" s="390"/>
      <c r="AC12" s="390"/>
      <c r="AD12" s="390"/>
      <c r="AE12" s="390"/>
      <c r="AF12" s="390"/>
      <c r="AG12" s="390"/>
      <c r="AH12" s="390"/>
      <c r="AI12" s="390"/>
      <c r="AJ12" s="390"/>
      <c r="AK12" s="390"/>
      <c r="AL12" s="390"/>
    </row>
    <row r="13" spans="1:38" ht="15">
      <c r="A13" s="390"/>
      <c r="B13" s="139"/>
      <c r="C13" s="144"/>
      <c r="D13" s="144" t="s">
        <v>387</v>
      </c>
      <c r="E13" s="140"/>
      <c r="F13" s="140"/>
      <c r="G13" s="140"/>
      <c r="H13" s="140"/>
      <c r="I13" s="140"/>
      <c r="J13" s="141"/>
      <c r="K13" s="390"/>
      <c r="L13" s="390"/>
      <c r="M13" s="395"/>
      <c r="N13" s="390"/>
      <c r="O13" s="390"/>
      <c r="P13" s="390"/>
      <c r="Q13" s="390"/>
      <c r="R13" s="390"/>
      <c r="S13" s="390"/>
      <c r="T13" s="390"/>
      <c r="U13" s="390"/>
      <c r="V13" s="390"/>
      <c r="W13" s="390"/>
      <c r="X13" s="390"/>
      <c r="Y13" s="390"/>
      <c r="Z13" s="390"/>
      <c r="AA13" s="390"/>
      <c r="AB13" s="390"/>
      <c r="AC13" s="390"/>
      <c r="AD13" s="390"/>
      <c r="AE13" s="390"/>
      <c r="AF13" s="390"/>
      <c r="AG13" s="390"/>
      <c r="AH13" s="390"/>
      <c r="AI13" s="390"/>
      <c r="AJ13" s="390"/>
      <c r="AK13" s="390"/>
      <c r="AL13" s="390"/>
    </row>
    <row r="14" spans="1:38" ht="20.25" customHeight="1">
      <c r="A14" s="390"/>
      <c r="B14" s="139"/>
      <c r="C14" s="140"/>
      <c r="D14" s="613" t="s">
        <v>388</v>
      </c>
      <c r="E14" s="614"/>
      <c r="F14" s="614"/>
      <c r="G14" s="614"/>
      <c r="H14" s="614"/>
      <c r="I14" s="145"/>
      <c r="J14" s="141"/>
      <c r="K14" s="390"/>
      <c r="L14" s="390"/>
      <c r="M14" s="395"/>
      <c r="N14" s="390"/>
      <c r="O14" s="390"/>
      <c r="P14" s="390"/>
      <c r="Q14" s="390"/>
      <c r="R14" s="390"/>
      <c r="S14" s="390"/>
      <c r="T14" s="390"/>
      <c r="U14" s="390"/>
      <c r="V14" s="390"/>
      <c r="W14" s="390"/>
      <c r="X14" s="390"/>
      <c r="Y14" s="390"/>
      <c r="Z14" s="390"/>
      <c r="AA14" s="390"/>
      <c r="AB14" s="390"/>
      <c r="AC14" s="390"/>
      <c r="AD14" s="390"/>
      <c r="AE14" s="390"/>
      <c r="AF14" s="390"/>
      <c r="AG14" s="390"/>
      <c r="AH14" s="390"/>
      <c r="AI14" s="390"/>
      <c r="AJ14" s="390"/>
      <c r="AK14" s="390"/>
      <c r="AL14" s="390"/>
    </row>
    <row r="15" spans="1:38" s="143" customFormat="1" ht="30.75" thickBot="1">
      <c r="A15" s="395"/>
      <c r="B15" s="146"/>
      <c r="C15" s="144"/>
      <c r="D15" s="190" t="s">
        <v>322</v>
      </c>
      <c r="E15" s="190" t="s">
        <v>323</v>
      </c>
      <c r="F15" s="190" t="s">
        <v>325</v>
      </c>
      <c r="G15" s="190" t="s">
        <v>337</v>
      </c>
      <c r="H15" s="190" t="s">
        <v>389</v>
      </c>
      <c r="I15" s="147"/>
      <c r="J15" s="148"/>
      <c r="K15" s="395"/>
      <c r="L15" s="395"/>
      <c r="M15" s="395"/>
      <c r="N15" s="395"/>
      <c r="O15" s="395"/>
      <c r="P15" s="395"/>
      <c r="Q15" s="395"/>
      <c r="R15" s="395"/>
      <c r="S15" s="395"/>
      <c r="T15" s="395"/>
      <c r="U15" s="395"/>
      <c r="V15" s="395"/>
      <c r="W15" s="395"/>
      <c r="X15" s="395"/>
      <c r="Y15" s="395"/>
      <c r="Z15" s="395"/>
      <c r="AA15" s="395"/>
      <c r="AB15" s="395"/>
      <c r="AC15" s="395"/>
      <c r="AD15" s="395"/>
      <c r="AE15" s="395"/>
      <c r="AF15" s="395"/>
      <c r="AG15" s="395"/>
      <c r="AH15" s="395"/>
      <c r="AI15" s="395"/>
      <c r="AJ15" s="395"/>
      <c r="AK15" s="395"/>
      <c r="AL15" s="395"/>
    </row>
    <row r="16" spans="1:38" ht="20.45" customHeight="1" thickBot="1">
      <c r="A16" s="390"/>
      <c r="B16" s="139"/>
      <c r="C16" s="140"/>
      <c r="D16" s="191"/>
      <c r="E16" s="191"/>
      <c r="F16" s="191"/>
      <c r="G16" s="191"/>
      <c r="H16" s="191"/>
      <c r="I16" s="145"/>
      <c r="J16" s="141"/>
      <c r="K16" s="390"/>
      <c r="L16" s="390"/>
      <c r="M16" s="395"/>
      <c r="N16" s="390"/>
      <c r="O16" s="390"/>
      <c r="P16" s="390"/>
      <c r="Q16" s="390"/>
      <c r="R16" s="390"/>
      <c r="S16" s="390"/>
      <c r="T16" s="390"/>
      <c r="U16" s="390"/>
      <c r="V16" s="390"/>
      <c r="W16" s="390"/>
      <c r="X16" s="390"/>
      <c r="Y16" s="390"/>
      <c r="Z16" s="390"/>
      <c r="AA16" s="390"/>
      <c r="AB16" s="390"/>
      <c r="AC16" s="390"/>
      <c r="AD16" s="390"/>
      <c r="AE16" s="390"/>
      <c r="AF16" s="390"/>
      <c r="AG16" s="390"/>
      <c r="AH16" s="390"/>
      <c r="AI16" s="390"/>
      <c r="AJ16" s="390"/>
      <c r="AK16" s="390"/>
      <c r="AL16" s="390"/>
    </row>
    <row r="17" spans="1:38" ht="15">
      <c r="A17" s="390"/>
      <c r="B17" s="139"/>
      <c r="C17" s="144"/>
      <c r="D17" s="140"/>
      <c r="E17" s="140"/>
      <c r="F17" s="140"/>
      <c r="G17" s="140"/>
      <c r="H17" s="140"/>
      <c r="I17" s="140"/>
      <c r="J17" s="141"/>
      <c r="K17" s="390"/>
      <c r="L17" s="390"/>
      <c r="M17" s="395"/>
      <c r="N17" s="390"/>
      <c r="O17" s="390"/>
      <c r="P17" s="390"/>
      <c r="Q17" s="390"/>
      <c r="R17" s="390"/>
      <c r="S17" s="390"/>
      <c r="T17" s="390"/>
      <c r="U17" s="390"/>
      <c r="V17" s="390"/>
      <c r="W17" s="390"/>
      <c r="X17" s="390"/>
      <c r="Y17" s="390"/>
      <c r="Z17" s="390"/>
      <c r="AA17" s="390"/>
      <c r="AB17" s="390"/>
      <c r="AC17" s="390"/>
      <c r="AD17" s="390"/>
      <c r="AE17" s="390"/>
      <c r="AF17" s="390"/>
      <c r="AG17" s="390"/>
      <c r="AH17" s="390"/>
      <c r="AI17" s="390"/>
      <c r="AJ17" s="390"/>
      <c r="AK17" s="390"/>
      <c r="AL17" s="390"/>
    </row>
    <row r="18" spans="1:38" ht="15">
      <c r="A18" s="390"/>
      <c r="B18" s="139"/>
      <c r="C18" s="144"/>
      <c r="D18" s="144" t="s">
        <v>390</v>
      </c>
      <c r="E18" s="140"/>
      <c r="F18" s="140"/>
      <c r="G18" s="140"/>
      <c r="H18" s="140"/>
      <c r="I18" s="140"/>
      <c r="J18" s="141"/>
      <c r="K18" s="390"/>
      <c r="L18" s="390"/>
      <c r="M18" s="395"/>
      <c r="N18" s="390"/>
      <c r="O18" s="390"/>
      <c r="P18" s="390"/>
      <c r="Q18" s="390"/>
      <c r="R18" s="390"/>
      <c r="S18" s="390"/>
      <c r="T18" s="390"/>
      <c r="U18" s="390"/>
      <c r="V18" s="390"/>
      <c r="W18" s="390"/>
      <c r="X18" s="390"/>
      <c r="Y18" s="390"/>
      <c r="Z18" s="390"/>
      <c r="AA18" s="390"/>
      <c r="AB18" s="390"/>
      <c r="AC18" s="390"/>
      <c r="AD18" s="390"/>
      <c r="AE18" s="390"/>
      <c r="AF18" s="390"/>
      <c r="AG18" s="390"/>
      <c r="AH18" s="390"/>
      <c r="AI18" s="390"/>
      <c r="AJ18" s="390"/>
      <c r="AK18" s="390"/>
      <c r="AL18" s="390"/>
    </row>
    <row r="19" spans="1:38" ht="20.25" customHeight="1">
      <c r="A19" s="390"/>
      <c r="B19" s="139"/>
      <c r="C19" s="140"/>
      <c r="D19" s="613" t="s">
        <v>391</v>
      </c>
      <c r="E19" s="614"/>
      <c r="F19" s="614"/>
      <c r="G19" s="614"/>
      <c r="H19" s="614"/>
      <c r="I19" s="145"/>
      <c r="J19" s="141"/>
      <c r="K19" s="390"/>
      <c r="L19" s="390"/>
      <c r="M19" s="395"/>
      <c r="N19" s="390"/>
      <c r="O19" s="390"/>
      <c r="P19" s="390"/>
      <c r="Q19" s="390"/>
      <c r="R19" s="390"/>
      <c r="S19" s="390"/>
      <c r="T19" s="390"/>
      <c r="U19" s="390"/>
      <c r="V19" s="390"/>
      <c r="W19" s="390"/>
      <c r="X19" s="390"/>
      <c r="Y19" s="390"/>
      <c r="Z19" s="390"/>
      <c r="AA19" s="390"/>
      <c r="AB19" s="390"/>
      <c r="AC19" s="390"/>
      <c r="AD19" s="390"/>
      <c r="AE19" s="390"/>
      <c r="AF19" s="390"/>
      <c r="AG19" s="390"/>
      <c r="AH19" s="390"/>
      <c r="AI19" s="390"/>
      <c r="AJ19" s="390"/>
      <c r="AK19" s="390"/>
      <c r="AL19" s="390"/>
    </row>
    <row r="20" spans="1:38" s="143" customFormat="1" ht="30.75" thickBot="1">
      <c r="A20" s="395"/>
      <c r="B20" s="146"/>
      <c r="C20" s="144"/>
      <c r="D20" s="190" t="s">
        <v>322</v>
      </c>
      <c r="E20" s="190" t="s">
        <v>323</v>
      </c>
      <c r="F20" s="190" t="s">
        <v>325</v>
      </c>
      <c r="G20" s="190" t="s">
        <v>337</v>
      </c>
      <c r="H20" s="190" t="s">
        <v>389</v>
      </c>
      <c r="I20" s="147"/>
      <c r="J20" s="148"/>
      <c r="K20" s="395"/>
      <c r="L20" s="395"/>
      <c r="M20" s="395"/>
      <c r="N20" s="395"/>
      <c r="O20" s="395"/>
      <c r="P20" s="395"/>
      <c r="Q20" s="395"/>
      <c r="R20" s="395"/>
      <c r="S20" s="395"/>
      <c r="T20" s="395"/>
      <c r="U20" s="395"/>
      <c r="V20" s="395"/>
      <c r="W20" s="395"/>
      <c r="X20" s="395"/>
      <c r="Y20" s="395"/>
      <c r="Z20" s="395"/>
      <c r="AA20" s="395"/>
      <c r="AB20" s="395"/>
      <c r="AC20" s="395"/>
      <c r="AD20" s="395"/>
      <c r="AE20" s="395"/>
      <c r="AF20" s="395"/>
      <c r="AG20" s="395"/>
      <c r="AH20" s="395"/>
      <c r="AI20" s="395"/>
      <c r="AJ20" s="395"/>
      <c r="AK20" s="395"/>
      <c r="AL20" s="395"/>
    </row>
    <row r="21" spans="1:38" ht="20.45" customHeight="1" thickBot="1">
      <c r="A21" s="390"/>
      <c r="B21" s="139"/>
      <c r="C21" s="140"/>
      <c r="D21" s="191"/>
      <c r="E21" s="191"/>
      <c r="F21" s="191"/>
      <c r="G21" s="191"/>
      <c r="H21" s="191"/>
      <c r="I21" s="145"/>
      <c r="J21" s="141"/>
      <c r="K21" s="390"/>
      <c r="L21" s="390"/>
      <c r="M21" s="395"/>
      <c r="N21" s="390"/>
      <c r="O21" s="390"/>
      <c r="P21" s="390"/>
      <c r="Q21" s="390"/>
      <c r="R21" s="390"/>
      <c r="S21" s="390"/>
      <c r="T21" s="390"/>
      <c r="U21" s="390"/>
      <c r="V21" s="390"/>
      <c r="W21" s="390"/>
      <c r="X21" s="390"/>
      <c r="Y21" s="390"/>
      <c r="Z21" s="390"/>
      <c r="AA21" s="390"/>
      <c r="AB21" s="390"/>
      <c r="AC21" s="390"/>
      <c r="AD21" s="390"/>
      <c r="AE21" s="390"/>
      <c r="AF21" s="390"/>
      <c r="AG21" s="390"/>
      <c r="AH21" s="390"/>
      <c r="AI21" s="390"/>
      <c r="AJ21" s="390"/>
      <c r="AK21" s="390"/>
      <c r="AL21" s="390"/>
    </row>
    <row r="22" spans="1:38" ht="15.6" customHeight="1">
      <c r="A22" s="390"/>
      <c r="B22" s="139"/>
      <c r="C22" s="144"/>
      <c r="D22" s="140"/>
      <c r="E22" s="140"/>
      <c r="F22" s="140"/>
      <c r="G22" s="140"/>
      <c r="H22" s="140"/>
      <c r="I22" s="140"/>
      <c r="J22" s="141"/>
      <c r="K22" s="390"/>
      <c r="L22" s="390"/>
      <c r="M22" s="395"/>
      <c r="N22" s="390"/>
      <c r="O22" s="390"/>
      <c r="P22" s="390"/>
      <c r="Q22" s="390"/>
      <c r="R22" s="390"/>
      <c r="S22" s="390"/>
      <c r="T22" s="390"/>
      <c r="U22" s="390"/>
      <c r="V22" s="390"/>
      <c r="W22" s="390"/>
      <c r="X22" s="390"/>
      <c r="Y22" s="390"/>
      <c r="Z22" s="390"/>
      <c r="AA22" s="390"/>
      <c r="AB22" s="390"/>
      <c r="AC22" s="390"/>
      <c r="AD22" s="390"/>
      <c r="AE22" s="390"/>
      <c r="AF22" s="390"/>
      <c r="AG22" s="390"/>
      <c r="AH22" s="390"/>
      <c r="AI22" s="390"/>
      <c r="AJ22" s="390"/>
      <c r="AK22" s="390"/>
      <c r="AL22" s="390"/>
    </row>
    <row r="23" spans="1:38" ht="15">
      <c r="A23" s="390"/>
      <c r="B23" s="139"/>
      <c r="C23" s="144"/>
      <c r="D23" s="144" t="s">
        <v>392</v>
      </c>
      <c r="E23" s="140"/>
      <c r="F23" s="140"/>
      <c r="G23" s="140"/>
      <c r="H23" s="140"/>
      <c r="I23" s="140"/>
      <c r="J23" s="141"/>
      <c r="K23" s="390"/>
      <c r="L23" s="390"/>
      <c r="M23" s="395"/>
      <c r="N23" s="390"/>
      <c r="O23" s="390"/>
      <c r="P23" s="390"/>
      <c r="Q23" s="390"/>
      <c r="R23" s="390"/>
      <c r="S23" s="390"/>
      <c r="T23" s="390"/>
      <c r="U23" s="390"/>
      <c r="V23" s="390"/>
      <c r="W23" s="390"/>
      <c r="X23" s="390"/>
      <c r="Y23" s="390"/>
      <c r="Z23" s="390"/>
      <c r="AA23" s="390"/>
      <c r="AB23" s="390"/>
      <c r="AC23" s="390"/>
      <c r="AD23" s="390"/>
      <c r="AE23" s="390"/>
      <c r="AF23" s="390"/>
      <c r="AG23" s="390"/>
      <c r="AH23" s="390"/>
      <c r="AI23" s="390"/>
      <c r="AJ23" s="390"/>
      <c r="AK23" s="390"/>
      <c r="AL23" s="390"/>
    </row>
    <row r="24" spans="1:38" ht="27.75" customHeight="1">
      <c r="A24" s="390"/>
      <c r="B24" s="139"/>
      <c r="C24" s="140"/>
      <c r="D24" s="613" t="s">
        <v>393</v>
      </c>
      <c r="E24" s="614"/>
      <c r="F24" s="614"/>
      <c r="G24" s="614"/>
      <c r="H24" s="614"/>
      <c r="I24" s="145"/>
      <c r="J24" s="141"/>
      <c r="K24" s="390"/>
      <c r="L24" s="390"/>
      <c r="M24" s="395"/>
      <c r="N24" s="390"/>
      <c r="O24" s="390"/>
      <c r="P24" s="390"/>
      <c r="Q24" s="390"/>
      <c r="R24" s="390"/>
      <c r="S24" s="390"/>
      <c r="T24" s="390"/>
      <c r="U24" s="390"/>
      <c r="V24" s="390"/>
      <c r="W24" s="390"/>
      <c r="X24" s="390"/>
      <c r="Y24" s="390"/>
      <c r="Z24" s="390"/>
      <c r="AA24" s="390"/>
      <c r="AB24" s="390"/>
      <c r="AC24" s="390"/>
      <c r="AD24" s="390"/>
      <c r="AE24" s="390"/>
      <c r="AF24" s="390"/>
      <c r="AG24" s="390"/>
      <c r="AH24" s="390"/>
      <c r="AI24" s="390"/>
      <c r="AJ24" s="390"/>
      <c r="AK24" s="390"/>
      <c r="AL24" s="390"/>
    </row>
    <row r="25" spans="1:38" s="143" customFormat="1" ht="60.75" thickBot="1">
      <c r="A25" s="395"/>
      <c r="B25" s="146"/>
      <c r="C25" s="144"/>
      <c r="D25" s="190" t="s">
        <v>394</v>
      </c>
      <c r="E25" s="190" t="s">
        <v>322</v>
      </c>
      <c r="F25" s="190" t="s">
        <v>323</v>
      </c>
      <c r="G25" s="190" t="s">
        <v>325</v>
      </c>
      <c r="H25" s="190" t="s">
        <v>337</v>
      </c>
      <c r="I25" s="190" t="s">
        <v>389</v>
      </c>
      <c r="J25" s="148"/>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395"/>
      <c r="AJ25" s="395"/>
      <c r="AK25" s="395"/>
      <c r="AL25" s="395"/>
    </row>
    <row r="26" spans="1:38" ht="20.45" customHeight="1" thickBot="1">
      <c r="A26" s="390"/>
      <c r="B26" s="139"/>
      <c r="C26" s="140"/>
      <c r="D26" s="191"/>
      <c r="E26" s="191"/>
      <c r="F26" s="191"/>
      <c r="G26" s="191"/>
      <c r="H26" s="191"/>
      <c r="I26" s="191"/>
      <c r="J26" s="141"/>
      <c r="K26" s="390"/>
      <c r="L26" s="390"/>
      <c r="M26" s="395"/>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0"/>
    </row>
    <row r="27" spans="1:38" ht="15.6" customHeight="1">
      <c r="A27" s="390"/>
      <c r="B27" s="139"/>
      <c r="C27" s="144"/>
      <c r="D27" s="140"/>
      <c r="E27" s="140"/>
      <c r="F27" s="140"/>
      <c r="G27" s="140"/>
      <c r="H27" s="140"/>
      <c r="I27" s="140"/>
      <c r="J27" s="141"/>
      <c r="K27" s="390"/>
      <c r="L27" s="390"/>
      <c r="M27" s="395"/>
      <c r="N27" s="390"/>
      <c r="O27" s="390"/>
      <c r="P27" s="390"/>
      <c r="Q27" s="390"/>
      <c r="R27" s="390"/>
      <c r="S27" s="390"/>
      <c r="T27" s="390"/>
      <c r="U27" s="390"/>
      <c r="V27" s="390"/>
      <c r="W27" s="390"/>
      <c r="X27" s="390"/>
      <c r="Y27" s="390"/>
      <c r="Z27" s="390"/>
      <c r="AA27" s="390"/>
      <c r="AB27" s="390"/>
      <c r="AC27" s="390"/>
      <c r="AD27" s="390"/>
      <c r="AE27" s="390"/>
      <c r="AF27" s="390"/>
      <c r="AG27" s="390"/>
      <c r="AH27" s="390"/>
      <c r="AI27" s="390"/>
      <c r="AJ27" s="390"/>
      <c r="AK27" s="390"/>
      <c r="AL27" s="390"/>
    </row>
    <row r="28" spans="1:38" ht="15.6" customHeight="1">
      <c r="A28" s="390"/>
      <c r="B28" s="139"/>
      <c r="C28" s="144"/>
      <c r="D28" s="144" t="s">
        <v>413</v>
      </c>
      <c r="E28" s="140"/>
      <c r="F28" s="140"/>
      <c r="G28" s="140"/>
      <c r="H28" s="140"/>
      <c r="I28" s="140"/>
      <c r="J28" s="141"/>
      <c r="K28" s="390"/>
      <c r="L28" s="390"/>
      <c r="M28" s="395"/>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0"/>
      <c r="AL28" s="390"/>
    </row>
    <row r="29" spans="1:38" ht="19.5" customHeight="1">
      <c r="A29" s="390"/>
      <c r="B29" s="139"/>
      <c r="C29" s="144"/>
      <c r="D29" s="140" t="s">
        <v>414</v>
      </c>
      <c r="E29" s="140"/>
      <c r="F29" s="140"/>
      <c r="G29" s="140"/>
      <c r="H29" s="140"/>
      <c r="I29" s="140"/>
      <c r="J29" s="141"/>
      <c r="K29" s="390"/>
      <c r="L29" s="390"/>
      <c r="M29" s="395"/>
      <c r="N29" s="390"/>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390"/>
      <c r="AL29" s="390"/>
    </row>
    <row r="30" spans="1:38" ht="32.25" customHeight="1" thickBot="1">
      <c r="A30" s="390"/>
      <c r="B30" s="139"/>
      <c r="C30" s="144"/>
      <c r="D30" s="615"/>
      <c r="E30" s="616"/>
      <c r="F30" s="616"/>
      <c r="G30" s="616"/>
      <c r="H30" s="617"/>
      <c r="I30" s="140"/>
      <c r="J30" s="141"/>
      <c r="K30" s="390"/>
      <c r="L30" s="390"/>
      <c r="M30" s="395"/>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0"/>
      <c r="AL30" s="390"/>
    </row>
    <row r="31" spans="1:38" ht="15.6" customHeight="1" thickBot="1">
      <c r="A31" s="390"/>
      <c r="B31" s="139"/>
      <c r="C31" s="144"/>
      <c r="D31" s="618"/>
      <c r="E31" s="619"/>
      <c r="F31" s="619"/>
      <c r="G31" s="619"/>
      <c r="H31" s="620"/>
      <c r="I31" s="140"/>
      <c r="J31" s="141"/>
      <c r="K31" s="390"/>
      <c r="L31" s="390"/>
      <c r="M31" s="395"/>
      <c r="N31" s="433" t="s">
        <v>446</v>
      </c>
      <c r="O31" s="390">
        <v>1</v>
      </c>
      <c r="P31" s="390"/>
      <c r="Q31" s="390"/>
      <c r="R31" s="390"/>
      <c r="S31" s="390"/>
      <c r="T31" s="390"/>
      <c r="U31" s="390"/>
      <c r="V31" s="390"/>
      <c r="W31" s="390"/>
      <c r="X31" s="390"/>
      <c r="Y31" s="390"/>
      <c r="Z31" s="390"/>
      <c r="AA31" s="390"/>
      <c r="AB31" s="390"/>
      <c r="AC31" s="390"/>
      <c r="AD31" s="390"/>
      <c r="AE31" s="390"/>
      <c r="AF31" s="390"/>
      <c r="AG31" s="390"/>
      <c r="AH31" s="390"/>
      <c r="AI31" s="390"/>
      <c r="AJ31" s="390"/>
      <c r="AK31" s="390"/>
      <c r="AL31" s="390"/>
    </row>
    <row r="32" spans="1:38" ht="15.6" customHeight="1">
      <c r="A32" s="390"/>
      <c r="B32" s="139"/>
      <c r="C32" s="144"/>
      <c r="D32" s="140"/>
      <c r="E32" s="140"/>
      <c r="F32" s="140"/>
      <c r="G32" s="140"/>
      <c r="H32" s="140"/>
      <c r="I32" s="140"/>
      <c r="J32" s="141"/>
      <c r="K32" s="390"/>
      <c r="L32" s="390"/>
      <c r="M32" s="395"/>
      <c r="N32" s="434" t="s">
        <v>415</v>
      </c>
      <c r="O32" s="390">
        <v>2</v>
      </c>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0"/>
    </row>
    <row r="33" spans="1:38" ht="15.6" customHeight="1">
      <c r="A33" s="390"/>
      <c r="B33" s="139"/>
      <c r="C33" s="144"/>
      <c r="D33" s="610" t="s">
        <v>417</v>
      </c>
      <c r="E33" s="611"/>
      <c r="F33" s="611"/>
      <c r="G33" s="611"/>
      <c r="H33" s="611"/>
      <c r="I33" s="611"/>
      <c r="J33" s="141"/>
      <c r="K33" s="390"/>
      <c r="L33" s="390"/>
      <c r="M33" s="395"/>
      <c r="N33" s="434" t="s">
        <v>416</v>
      </c>
      <c r="O33" s="390">
        <v>3</v>
      </c>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0"/>
    </row>
    <row r="34" spans="1:38" ht="15.6" customHeight="1">
      <c r="A34" s="390"/>
      <c r="B34" s="139"/>
      <c r="C34" s="144"/>
      <c r="D34" s="611"/>
      <c r="E34" s="611"/>
      <c r="F34" s="611"/>
      <c r="G34" s="611"/>
      <c r="H34" s="611"/>
      <c r="I34" s="611"/>
      <c r="J34" s="141"/>
      <c r="K34" s="390"/>
      <c r="L34" s="390"/>
      <c r="M34" s="395"/>
      <c r="N34" s="435"/>
      <c r="O34" s="390"/>
      <c r="P34" s="390"/>
      <c r="Q34" s="390"/>
      <c r="R34" s="390"/>
      <c r="S34" s="390"/>
      <c r="T34" s="390"/>
      <c r="U34" s="390"/>
      <c r="V34" s="390"/>
      <c r="W34" s="390"/>
      <c r="X34" s="390"/>
      <c r="Y34" s="390"/>
      <c r="Z34" s="390"/>
      <c r="AA34" s="390"/>
      <c r="AB34" s="390"/>
      <c r="AC34" s="390"/>
      <c r="AD34" s="390"/>
      <c r="AE34" s="390"/>
      <c r="AF34" s="390"/>
      <c r="AG34" s="390"/>
      <c r="AH34" s="390"/>
      <c r="AI34" s="390"/>
      <c r="AJ34" s="390"/>
      <c r="AK34" s="390"/>
      <c r="AL34" s="390"/>
    </row>
    <row r="35" spans="1:38" ht="15.6" customHeight="1">
      <c r="A35" s="390"/>
      <c r="B35" s="139"/>
      <c r="C35" s="144"/>
      <c r="D35" s="611"/>
      <c r="E35" s="611"/>
      <c r="F35" s="611"/>
      <c r="G35" s="611"/>
      <c r="H35" s="611"/>
      <c r="I35" s="611"/>
      <c r="J35" s="141"/>
      <c r="K35" s="390"/>
      <c r="L35" s="390"/>
      <c r="M35" s="395"/>
      <c r="N35" s="435"/>
      <c r="O35" s="390"/>
      <c r="P35" s="390"/>
      <c r="Q35" s="390"/>
      <c r="R35" s="390"/>
      <c r="S35" s="390"/>
      <c r="T35" s="390"/>
      <c r="U35" s="390"/>
      <c r="V35" s="390"/>
      <c r="W35" s="390"/>
      <c r="X35" s="390"/>
      <c r="Y35" s="390"/>
      <c r="Z35" s="390"/>
      <c r="AA35" s="390"/>
      <c r="AB35" s="390"/>
      <c r="AC35" s="390"/>
      <c r="AD35" s="390"/>
      <c r="AE35" s="390"/>
      <c r="AF35" s="390"/>
      <c r="AG35" s="390"/>
      <c r="AH35" s="390"/>
      <c r="AI35" s="390"/>
      <c r="AJ35" s="390"/>
      <c r="AK35" s="390"/>
      <c r="AL35" s="390"/>
    </row>
    <row r="36" spans="1:38" ht="15.6" customHeight="1">
      <c r="A36" s="390"/>
      <c r="B36" s="139"/>
      <c r="C36" s="144"/>
      <c r="D36" s="611"/>
      <c r="E36" s="611"/>
      <c r="F36" s="611"/>
      <c r="G36" s="611"/>
      <c r="H36" s="611"/>
      <c r="I36" s="611"/>
      <c r="J36" s="141"/>
      <c r="K36" s="390"/>
      <c r="L36" s="390"/>
      <c r="M36" s="395"/>
      <c r="N36" s="435"/>
      <c r="O36" s="390"/>
      <c r="P36" s="390"/>
      <c r="Q36" s="390"/>
      <c r="R36" s="390"/>
      <c r="S36" s="390"/>
      <c r="T36" s="390"/>
      <c r="U36" s="390"/>
      <c r="V36" s="390"/>
      <c r="W36" s="390"/>
      <c r="X36" s="390"/>
      <c r="Y36" s="390"/>
      <c r="Z36" s="390"/>
      <c r="AA36" s="390"/>
      <c r="AB36" s="390"/>
      <c r="AC36" s="390"/>
      <c r="AD36" s="390"/>
      <c r="AE36" s="390"/>
      <c r="AF36" s="390"/>
      <c r="AG36" s="390"/>
      <c r="AH36" s="390"/>
      <c r="AI36" s="390"/>
      <c r="AJ36" s="390"/>
      <c r="AK36" s="390"/>
      <c r="AL36" s="390"/>
    </row>
    <row r="37" spans="1:38" ht="15.6" customHeight="1">
      <c r="A37" s="390"/>
      <c r="B37" s="139"/>
      <c r="C37" s="144"/>
      <c r="D37" s="611"/>
      <c r="E37" s="611"/>
      <c r="F37" s="611"/>
      <c r="G37" s="611"/>
      <c r="H37" s="611"/>
      <c r="I37" s="611"/>
      <c r="J37" s="141"/>
      <c r="K37" s="390"/>
      <c r="L37" s="390"/>
      <c r="M37" s="395"/>
      <c r="N37" s="435"/>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0"/>
      <c r="AL37" s="390"/>
    </row>
    <row r="38" spans="1:38" ht="16.5" customHeight="1" thickBot="1">
      <c r="A38" s="390"/>
      <c r="B38" s="149"/>
      <c r="C38" s="150"/>
      <c r="D38" s="150"/>
      <c r="E38" s="150"/>
      <c r="F38" s="150"/>
      <c r="G38" s="150"/>
      <c r="H38" s="150"/>
      <c r="I38" s="150"/>
      <c r="J38" s="151"/>
      <c r="K38" s="390"/>
      <c r="L38" s="390"/>
      <c r="M38" s="395"/>
      <c r="N38" s="390"/>
      <c r="O38" s="390"/>
      <c r="P38" s="390"/>
      <c r="Q38" s="390"/>
      <c r="R38" s="390"/>
      <c r="S38" s="390"/>
      <c r="T38" s="390"/>
      <c r="U38" s="390"/>
      <c r="V38" s="390"/>
      <c r="W38" s="390"/>
      <c r="X38" s="390"/>
      <c r="Y38" s="390"/>
      <c r="Z38" s="390"/>
      <c r="AA38" s="390"/>
      <c r="AB38" s="390"/>
      <c r="AC38" s="390"/>
      <c r="AD38" s="390"/>
      <c r="AE38" s="390"/>
      <c r="AF38" s="390"/>
      <c r="AG38" s="390"/>
      <c r="AH38" s="390"/>
      <c r="AI38" s="390"/>
      <c r="AJ38" s="390"/>
      <c r="AK38" s="390"/>
      <c r="AL38" s="390"/>
    </row>
    <row r="39" spans="1:38" ht="15" thickTop="1">
      <c r="A39" s="390"/>
      <c r="B39" s="390"/>
      <c r="C39" s="390"/>
      <c r="D39" s="390"/>
      <c r="E39" s="390"/>
      <c r="F39" s="390"/>
      <c r="G39" s="390"/>
      <c r="H39" s="390"/>
      <c r="I39" s="390"/>
      <c r="J39" s="390"/>
      <c r="K39" s="390"/>
      <c r="L39" s="390"/>
      <c r="M39" s="395"/>
      <c r="N39" s="390"/>
      <c r="O39" s="390"/>
      <c r="P39" s="390"/>
      <c r="Q39" s="390"/>
      <c r="R39" s="390"/>
      <c r="S39" s="390"/>
      <c r="T39" s="390"/>
      <c r="U39" s="390"/>
      <c r="V39" s="390"/>
      <c r="W39" s="390"/>
      <c r="X39" s="390"/>
      <c r="Y39" s="390"/>
      <c r="Z39" s="390"/>
      <c r="AA39" s="390"/>
      <c r="AB39" s="390"/>
      <c r="AC39" s="390"/>
      <c r="AD39" s="390"/>
      <c r="AE39" s="390"/>
      <c r="AF39" s="390"/>
      <c r="AG39" s="390"/>
      <c r="AH39" s="390"/>
      <c r="AI39" s="390"/>
      <c r="AJ39" s="390"/>
      <c r="AK39" s="390"/>
      <c r="AL39" s="390"/>
    </row>
    <row r="40" spans="1:38">
      <c r="A40" s="390"/>
      <c r="B40" s="390"/>
      <c r="C40" s="390"/>
      <c r="D40" s="390"/>
      <c r="E40" s="390"/>
      <c r="F40" s="390"/>
      <c r="G40" s="390"/>
      <c r="H40" s="390"/>
      <c r="I40" s="390"/>
      <c r="J40" s="390"/>
      <c r="K40" s="390"/>
      <c r="L40" s="390"/>
      <c r="M40" s="395"/>
      <c r="N40" s="390"/>
      <c r="O40" s="390"/>
      <c r="P40" s="390"/>
      <c r="Q40" s="390"/>
      <c r="R40" s="390"/>
      <c r="S40" s="390"/>
      <c r="T40" s="390"/>
      <c r="U40" s="390"/>
      <c r="V40" s="390"/>
      <c r="W40" s="390"/>
      <c r="X40" s="390"/>
      <c r="Y40" s="390"/>
      <c r="Z40" s="390"/>
      <c r="AA40" s="390"/>
      <c r="AB40" s="390"/>
      <c r="AC40" s="390"/>
      <c r="AD40" s="390"/>
      <c r="AE40" s="390"/>
      <c r="AF40" s="390"/>
      <c r="AG40" s="390"/>
      <c r="AH40" s="390"/>
      <c r="AI40" s="390"/>
      <c r="AJ40" s="390"/>
      <c r="AK40" s="390"/>
      <c r="AL40" s="390"/>
    </row>
    <row r="41" spans="1:38">
      <c r="A41" s="390"/>
      <c r="B41" s="390"/>
      <c r="C41" s="390"/>
      <c r="D41" s="390"/>
      <c r="E41" s="390"/>
      <c r="F41" s="390"/>
      <c r="G41" s="390"/>
      <c r="H41" s="390"/>
      <c r="I41" s="390"/>
      <c r="J41" s="390"/>
      <c r="K41" s="390"/>
      <c r="L41" s="390"/>
      <c r="M41" s="395"/>
      <c r="N41" s="390"/>
      <c r="O41" s="390"/>
      <c r="P41" s="390"/>
      <c r="Q41" s="390"/>
      <c r="R41" s="390"/>
      <c r="S41" s="390"/>
      <c r="T41" s="390"/>
      <c r="U41" s="390"/>
      <c r="V41" s="390"/>
      <c r="W41" s="390"/>
      <c r="X41" s="390"/>
      <c r="Y41" s="390"/>
      <c r="Z41" s="390"/>
      <c r="AA41" s="390"/>
      <c r="AB41" s="390"/>
      <c r="AC41" s="390"/>
      <c r="AD41" s="390"/>
      <c r="AE41" s="390"/>
      <c r="AF41" s="390"/>
      <c r="AG41" s="390"/>
      <c r="AH41" s="390"/>
      <c r="AI41" s="390"/>
      <c r="AJ41" s="390"/>
      <c r="AK41" s="390"/>
      <c r="AL41" s="390"/>
    </row>
    <row r="42" spans="1:38">
      <c r="A42" s="390"/>
      <c r="B42" s="390"/>
      <c r="C42" s="390"/>
      <c r="D42" s="390"/>
      <c r="E42" s="390"/>
      <c r="F42" s="390"/>
      <c r="G42" s="390"/>
      <c r="H42" s="390"/>
      <c r="I42" s="390"/>
      <c r="J42" s="390"/>
      <c r="K42" s="390"/>
      <c r="L42" s="390"/>
      <c r="M42" s="395"/>
      <c r="N42" s="390"/>
      <c r="O42" s="390"/>
      <c r="P42" s="390"/>
      <c r="Q42" s="390"/>
      <c r="R42" s="390"/>
      <c r="S42" s="390"/>
      <c r="T42" s="390"/>
      <c r="U42" s="390"/>
      <c r="V42" s="390"/>
      <c r="W42" s="390"/>
      <c r="X42" s="390"/>
      <c r="Y42" s="390"/>
      <c r="Z42" s="390"/>
      <c r="AA42" s="390"/>
      <c r="AB42" s="390"/>
      <c r="AC42" s="390"/>
      <c r="AD42" s="390"/>
      <c r="AE42" s="390"/>
      <c r="AF42" s="390"/>
      <c r="AG42" s="390"/>
      <c r="AH42" s="390"/>
      <c r="AI42" s="390"/>
      <c r="AJ42" s="390"/>
      <c r="AK42" s="390"/>
      <c r="AL42" s="390"/>
    </row>
    <row r="43" spans="1:38">
      <c r="A43" s="390"/>
      <c r="B43" s="390"/>
      <c r="C43" s="390"/>
      <c r="D43" s="390"/>
      <c r="E43" s="390"/>
      <c r="F43" s="390"/>
      <c r="G43" s="390"/>
      <c r="H43" s="390"/>
      <c r="I43" s="390"/>
      <c r="J43" s="390"/>
      <c r="K43" s="390"/>
      <c r="L43" s="390"/>
      <c r="M43" s="395"/>
      <c r="N43" s="390"/>
      <c r="O43" s="390"/>
      <c r="P43" s="390"/>
      <c r="Q43" s="390"/>
      <c r="R43" s="390"/>
      <c r="S43" s="390"/>
      <c r="T43" s="390"/>
      <c r="U43" s="390"/>
      <c r="V43" s="390"/>
      <c r="W43" s="390"/>
      <c r="X43" s="390"/>
      <c r="Y43" s="390"/>
      <c r="Z43" s="390"/>
      <c r="AA43" s="390"/>
      <c r="AB43" s="390"/>
      <c r="AC43" s="390"/>
      <c r="AD43" s="390"/>
      <c r="AE43" s="390"/>
      <c r="AF43" s="390"/>
      <c r="AG43" s="390"/>
      <c r="AH43" s="390"/>
      <c r="AI43" s="390"/>
      <c r="AJ43" s="390"/>
      <c r="AK43" s="390"/>
      <c r="AL43" s="390"/>
    </row>
    <row r="44" spans="1:38">
      <c r="A44" s="390"/>
      <c r="B44" s="390"/>
      <c r="C44" s="390"/>
      <c r="D44" s="390"/>
      <c r="E44" s="390"/>
      <c r="F44" s="390"/>
      <c r="G44" s="390"/>
      <c r="H44" s="390"/>
      <c r="I44" s="390"/>
      <c r="J44" s="390"/>
      <c r="K44" s="390"/>
      <c r="L44" s="390"/>
      <c r="M44" s="395"/>
      <c r="N44" s="390"/>
      <c r="O44" s="390"/>
      <c r="P44" s="390"/>
      <c r="Q44" s="390"/>
      <c r="R44" s="390"/>
      <c r="S44" s="390"/>
      <c r="T44" s="390"/>
      <c r="U44" s="390"/>
      <c r="V44" s="390"/>
      <c r="W44" s="390"/>
      <c r="X44" s="390"/>
      <c r="Y44" s="390"/>
      <c r="Z44" s="390"/>
      <c r="AA44" s="390"/>
      <c r="AB44" s="390"/>
      <c r="AC44" s="390"/>
      <c r="AD44" s="390"/>
      <c r="AE44" s="390"/>
      <c r="AF44" s="390"/>
      <c r="AG44" s="390"/>
      <c r="AH44" s="390"/>
      <c r="AI44" s="390"/>
      <c r="AJ44" s="390"/>
      <c r="AK44" s="390"/>
      <c r="AL44" s="390"/>
    </row>
    <row r="45" spans="1:38">
      <c r="A45" s="390"/>
      <c r="B45" s="390"/>
      <c r="C45" s="390"/>
      <c r="D45" s="390"/>
      <c r="E45" s="390"/>
      <c r="F45" s="390"/>
      <c r="G45" s="390"/>
      <c r="H45" s="390"/>
      <c r="I45" s="390"/>
      <c r="J45" s="390"/>
      <c r="K45" s="390"/>
      <c r="L45" s="390"/>
      <c r="M45" s="395"/>
      <c r="N45" s="390"/>
      <c r="O45" s="390"/>
      <c r="P45" s="390"/>
      <c r="Q45" s="390"/>
      <c r="R45" s="390"/>
      <c r="S45" s="390"/>
      <c r="T45" s="390"/>
      <c r="U45" s="390"/>
      <c r="V45" s="390"/>
      <c r="W45" s="390"/>
      <c r="X45" s="390"/>
      <c r="Y45" s="390"/>
      <c r="Z45" s="390"/>
      <c r="AA45" s="390"/>
      <c r="AB45" s="390"/>
      <c r="AC45" s="390"/>
      <c r="AD45" s="390"/>
      <c r="AE45" s="390"/>
      <c r="AF45" s="390"/>
      <c r="AG45" s="390"/>
      <c r="AH45" s="390"/>
      <c r="AI45" s="390"/>
      <c r="AJ45" s="390"/>
      <c r="AK45" s="390"/>
      <c r="AL45" s="390"/>
    </row>
    <row r="46" spans="1:38">
      <c r="A46" s="390"/>
      <c r="B46" s="390"/>
      <c r="C46" s="390"/>
      <c r="D46" s="390"/>
      <c r="E46" s="390"/>
      <c r="F46" s="390"/>
      <c r="G46" s="390"/>
      <c r="H46" s="390"/>
      <c r="I46" s="390"/>
      <c r="J46" s="390"/>
      <c r="K46" s="390"/>
      <c r="L46" s="390"/>
      <c r="M46" s="395"/>
      <c r="N46" s="390"/>
      <c r="O46" s="390"/>
      <c r="P46" s="390"/>
      <c r="Q46" s="390"/>
      <c r="R46" s="390"/>
      <c r="S46" s="390"/>
      <c r="T46" s="390"/>
      <c r="U46" s="390"/>
      <c r="V46" s="390"/>
      <c r="W46" s="390"/>
      <c r="X46" s="390"/>
      <c r="Y46" s="390"/>
      <c r="Z46" s="390"/>
      <c r="AA46" s="390"/>
      <c r="AB46" s="390"/>
      <c r="AC46" s="390"/>
      <c r="AD46" s="390"/>
      <c r="AE46" s="390"/>
      <c r="AF46" s="390"/>
      <c r="AG46" s="390"/>
      <c r="AH46" s="390"/>
      <c r="AI46" s="390"/>
      <c r="AJ46" s="390"/>
      <c r="AK46" s="390"/>
      <c r="AL46" s="390"/>
    </row>
    <row r="47" spans="1:38">
      <c r="A47" s="390"/>
      <c r="B47" s="390"/>
      <c r="C47" s="390"/>
      <c r="D47" s="390"/>
      <c r="E47" s="390"/>
      <c r="F47" s="390"/>
      <c r="G47" s="390"/>
      <c r="H47" s="390"/>
      <c r="I47" s="390"/>
      <c r="J47" s="390"/>
      <c r="K47" s="390"/>
      <c r="L47" s="390"/>
      <c r="M47" s="395"/>
      <c r="N47" s="390"/>
      <c r="O47" s="390"/>
      <c r="P47" s="390"/>
      <c r="Q47" s="390"/>
      <c r="R47" s="390"/>
      <c r="S47" s="390"/>
      <c r="T47" s="390"/>
      <c r="U47" s="390"/>
      <c r="V47" s="390"/>
      <c r="W47" s="390"/>
      <c r="X47" s="390"/>
      <c r="Y47" s="390"/>
      <c r="Z47" s="390"/>
      <c r="AA47" s="390"/>
      <c r="AB47" s="390"/>
      <c r="AC47" s="390"/>
      <c r="AD47" s="390"/>
      <c r="AE47" s="390"/>
      <c r="AF47" s="390"/>
      <c r="AG47" s="390"/>
      <c r="AH47" s="390"/>
      <c r="AI47" s="390"/>
      <c r="AJ47" s="390"/>
      <c r="AK47" s="390"/>
      <c r="AL47" s="390"/>
    </row>
    <row r="48" spans="1:38">
      <c r="A48" s="390"/>
      <c r="B48" s="390"/>
      <c r="C48" s="390"/>
      <c r="D48" s="390"/>
      <c r="E48" s="390"/>
      <c r="F48" s="390"/>
      <c r="G48" s="390"/>
      <c r="H48" s="390"/>
      <c r="I48" s="390"/>
      <c r="J48" s="390"/>
      <c r="K48" s="390"/>
      <c r="L48" s="390"/>
      <c r="M48" s="395"/>
      <c r="N48" s="390"/>
      <c r="O48" s="390"/>
      <c r="P48" s="390"/>
      <c r="Q48" s="390"/>
      <c r="R48" s="390"/>
      <c r="S48" s="390"/>
      <c r="T48" s="390"/>
      <c r="U48" s="390"/>
      <c r="V48" s="390"/>
      <c r="W48" s="390"/>
      <c r="X48" s="390"/>
      <c r="Y48" s="390"/>
      <c r="Z48" s="390"/>
      <c r="AA48" s="390"/>
      <c r="AB48" s="390"/>
      <c r="AC48" s="390"/>
      <c r="AD48" s="390"/>
      <c r="AE48" s="390"/>
      <c r="AF48" s="390"/>
      <c r="AG48" s="390"/>
      <c r="AH48" s="390"/>
      <c r="AI48" s="390"/>
      <c r="AJ48" s="390"/>
      <c r="AK48" s="390"/>
      <c r="AL48" s="390"/>
    </row>
    <row r="49" spans="1:38">
      <c r="A49" s="390"/>
      <c r="B49" s="390"/>
      <c r="C49" s="390"/>
      <c r="D49" s="390"/>
      <c r="E49" s="390"/>
      <c r="F49" s="390"/>
      <c r="G49" s="390"/>
      <c r="H49" s="390"/>
      <c r="I49" s="390"/>
      <c r="J49" s="390"/>
      <c r="K49" s="390"/>
      <c r="L49" s="390"/>
      <c r="M49" s="395"/>
      <c r="N49" s="390"/>
      <c r="O49" s="390"/>
      <c r="P49" s="390"/>
      <c r="Q49" s="390"/>
      <c r="R49" s="390"/>
      <c r="S49" s="390"/>
      <c r="T49" s="390"/>
      <c r="U49" s="390"/>
      <c r="V49" s="390"/>
      <c r="W49" s="390"/>
      <c r="X49" s="390"/>
      <c r="Y49" s="390"/>
      <c r="Z49" s="390"/>
      <c r="AA49" s="390"/>
      <c r="AB49" s="390"/>
      <c r="AC49" s="390"/>
      <c r="AD49" s="390"/>
      <c r="AE49" s="390"/>
      <c r="AF49" s="390"/>
      <c r="AG49" s="390"/>
      <c r="AH49" s="390"/>
      <c r="AI49" s="390"/>
      <c r="AJ49" s="390"/>
      <c r="AK49" s="390"/>
      <c r="AL49" s="390"/>
    </row>
    <row r="50" spans="1:38">
      <c r="A50" s="390"/>
      <c r="B50" s="390"/>
      <c r="C50" s="390"/>
      <c r="D50" s="390"/>
      <c r="E50" s="390"/>
      <c r="F50" s="390"/>
      <c r="G50" s="390"/>
      <c r="H50" s="390"/>
      <c r="I50" s="390"/>
      <c r="J50" s="390"/>
      <c r="K50" s="390"/>
      <c r="L50" s="390"/>
      <c r="M50" s="395"/>
      <c r="N50" s="390"/>
      <c r="O50" s="390"/>
      <c r="P50" s="390"/>
      <c r="Q50" s="390"/>
      <c r="R50" s="390"/>
      <c r="S50" s="390"/>
      <c r="T50" s="390"/>
      <c r="U50" s="390"/>
      <c r="V50" s="390"/>
      <c r="W50" s="390"/>
      <c r="X50" s="390"/>
      <c r="Y50" s="390"/>
      <c r="Z50" s="390"/>
      <c r="AA50" s="390"/>
      <c r="AB50" s="390"/>
      <c r="AC50" s="390"/>
      <c r="AD50" s="390"/>
      <c r="AE50" s="390"/>
      <c r="AF50" s="390"/>
      <c r="AG50" s="390"/>
      <c r="AH50" s="390"/>
      <c r="AI50" s="390"/>
      <c r="AJ50" s="390"/>
      <c r="AK50" s="390"/>
      <c r="AL50" s="390"/>
    </row>
    <row r="51" spans="1:38">
      <c r="A51" s="390"/>
      <c r="B51" s="390"/>
      <c r="C51" s="390"/>
      <c r="D51" s="390"/>
      <c r="E51" s="390"/>
      <c r="F51" s="390"/>
      <c r="G51" s="390"/>
      <c r="H51" s="390"/>
      <c r="I51" s="390"/>
      <c r="J51" s="390"/>
      <c r="K51" s="390"/>
      <c r="L51" s="390"/>
      <c r="M51" s="395"/>
      <c r="N51" s="390"/>
      <c r="O51" s="390"/>
      <c r="P51" s="390"/>
      <c r="Q51" s="390"/>
      <c r="R51" s="390"/>
      <c r="S51" s="390"/>
      <c r="T51" s="390"/>
      <c r="U51" s="390"/>
      <c r="V51" s="390"/>
      <c r="W51" s="390"/>
      <c r="X51" s="390"/>
      <c r="Y51" s="390"/>
      <c r="Z51" s="390"/>
      <c r="AA51" s="390"/>
      <c r="AB51" s="390"/>
      <c r="AC51" s="390"/>
      <c r="AD51" s="390"/>
      <c r="AE51" s="390"/>
      <c r="AF51" s="390"/>
      <c r="AG51" s="390"/>
      <c r="AH51" s="390"/>
      <c r="AI51" s="390"/>
      <c r="AJ51" s="390"/>
      <c r="AK51" s="390"/>
      <c r="AL51" s="390"/>
    </row>
    <row r="52" spans="1:38">
      <c r="A52" s="390"/>
      <c r="B52" s="390"/>
      <c r="C52" s="390"/>
      <c r="D52" s="390"/>
      <c r="E52" s="390"/>
      <c r="F52" s="390"/>
      <c r="G52" s="390"/>
      <c r="H52" s="390"/>
      <c r="I52" s="390"/>
      <c r="J52" s="390"/>
      <c r="K52" s="390"/>
      <c r="L52" s="390"/>
      <c r="M52" s="395"/>
      <c r="N52" s="390"/>
      <c r="O52" s="390"/>
      <c r="P52" s="390"/>
      <c r="Q52" s="390"/>
      <c r="R52" s="390"/>
      <c r="S52" s="390"/>
      <c r="T52" s="390"/>
      <c r="U52" s="390"/>
      <c r="V52" s="390"/>
      <c r="W52" s="390"/>
      <c r="X52" s="390"/>
      <c r="Y52" s="390"/>
      <c r="Z52" s="390"/>
      <c r="AA52" s="390"/>
      <c r="AB52" s="390"/>
      <c r="AC52" s="390"/>
      <c r="AD52" s="390"/>
      <c r="AE52" s="390"/>
      <c r="AF52" s="390"/>
      <c r="AG52" s="390"/>
      <c r="AH52" s="390"/>
      <c r="AI52" s="390"/>
      <c r="AJ52" s="390"/>
      <c r="AK52" s="390"/>
      <c r="AL52" s="390"/>
    </row>
    <row r="53" spans="1:38">
      <c r="A53" s="390"/>
      <c r="B53" s="390"/>
      <c r="C53" s="390"/>
      <c r="D53" s="390"/>
      <c r="E53" s="390"/>
      <c r="F53" s="390"/>
      <c r="G53" s="390"/>
      <c r="H53" s="390"/>
      <c r="I53" s="390"/>
      <c r="J53" s="390"/>
      <c r="K53" s="390"/>
      <c r="L53" s="390"/>
      <c r="M53" s="395"/>
      <c r="N53" s="390"/>
      <c r="O53" s="390"/>
      <c r="P53" s="390"/>
      <c r="Q53" s="390"/>
      <c r="R53" s="390"/>
      <c r="S53" s="390"/>
      <c r="T53" s="390"/>
      <c r="U53" s="390"/>
      <c r="V53" s="390"/>
      <c r="W53" s="390"/>
      <c r="X53" s="390"/>
      <c r="Y53" s="390"/>
      <c r="Z53" s="390"/>
      <c r="AA53" s="390"/>
      <c r="AB53" s="390"/>
      <c r="AC53" s="390"/>
      <c r="AD53" s="390"/>
      <c r="AE53" s="390"/>
      <c r="AF53" s="390"/>
      <c r="AG53" s="390"/>
      <c r="AH53" s="390"/>
      <c r="AI53" s="390"/>
      <c r="AJ53" s="390"/>
      <c r="AK53" s="390"/>
      <c r="AL53" s="390"/>
    </row>
    <row r="54" spans="1:38">
      <c r="A54" s="390"/>
      <c r="B54" s="390"/>
      <c r="C54" s="390"/>
      <c r="D54" s="390"/>
      <c r="E54" s="390"/>
      <c r="F54" s="390"/>
      <c r="G54" s="390"/>
      <c r="H54" s="390"/>
      <c r="I54" s="390"/>
      <c r="J54" s="390"/>
      <c r="K54" s="390"/>
      <c r="L54" s="390"/>
      <c r="M54" s="395"/>
      <c r="N54" s="390"/>
      <c r="O54" s="390"/>
      <c r="P54" s="390"/>
      <c r="Q54" s="390"/>
      <c r="R54" s="390"/>
      <c r="S54" s="390"/>
      <c r="T54" s="390"/>
      <c r="U54" s="390"/>
      <c r="V54" s="390"/>
      <c r="W54" s="390"/>
      <c r="X54" s="390"/>
      <c r="Y54" s="390"/>
      <c r="Z54" s="390"/>
      <c r="AA54" s="390"/>
      <c r="AB54" s="390"/>
      <c r="AC54" s="390"/>
      <c r="AD54" s="390"/>
      <c r="AE54" s="390"/>
      <c r="AF54" s="390"/>
      <c r="AG54" s="390"/>
      <c r="AH54" s="390"/>
      <c r="AI54" s="390"/>
      <c r="AJ54" s="390"/>
      <c r="AK54" s="390"/>
      <c r="AL54" s="390"/>
    </row>
    <row r="55" spans="1:38">
      <c r="A55" s="390"/>
      <c r="B55" s="390"/>
      <c r="C55" s="390"/>
      <c r="D55" s="390"/>
      <c r="E55" s="390"/>
      <c r="F55" s="390"/>
      <c r="G55" s="390"/>
      <c r="H55" s="390"/>
      <c r="I55" s="390"/>
      <c r="J55" s="390"/>
      <c r="K55" s="390"/>
      <c r="L55" s="390"/>
      <c r="M55" s="395"/>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390"/>
      <c r="AK55" s="390"/>
      <c r="AL55" s="390"/>
    </row>
    <row r="56" spans="1:38">
      <c r="A56" s="390"/>
      <c r="B56" s="390"/>
      <c r="C56" s="390"/>
      <c r="D56" s="390"/>
      <c r="E56" s="390"/>
      <c r="F56" s="390"/>
      <c r="G56" s="390"/>
      <c r="H56" s="390"/>
      <c r="I56" s="390"/>
      <c r="J56" s="390"/>
      <c r="K56" s="390"/>
      <c r="L56" s="390"/>
      <c r="M56" s="395"/>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390"/>
      <c r="AK56" s="390"/>
      <c r="AL56" s="390"/>
    </row>
    <row r="57" spans="1:38">
      <c r="A57" s="390"/>
      <c r="B57" s="390"/>
      <c r="C57" s="390"/>
      <c r="D57" s="390"/>
      <c r="E57" s="390"/>
      <c r="F57" s="390"/>
      <c r="G57" s="390"/>
      <c r="H57" s="390"/>
      <c r="I57" s="390"/>
      <c r="J57" s="390"/>
      <c r="K57" s="390"/>
      <c r="L57" s="390"/>
      <c r="M57" s="395"/>
      <c r="N57" s="390"/>
      <c r="O57" s="390"/>
      <c r="P57" s="390"/>
      <c r="Q57" s="390"/>
      <c r="R57" s="390"/>
      <c r="S57" s="390"/>
      <c r="T57" s="390"/>
      <c r="U57" s="390"/>
      <c r="V57" s="390"/>
      <c r="W57" s="390"/>
      <c r="X57" s="390"/>
      <c r="Y57" s="390"/>
      <c r="Z57" s="390"/>
      <c r="AA57" s="390"/>
      <c r="AB57" s="390"/>
      <c r="AC57" s="390"/>
      <c r="AD57" s="390"/>
      <c r="AE57" s="390"/>
      <c r="AF57" s="390"/>
      <c r="AG57" s="390"/>
      <c r="AH57" s="390"/>
      <c r="AI57" s="390"/>
      <c r="AJ57" s="390"/>
      <c r="AK57" s="390"/>
      <c r="AL57" s="390"/>
    </row>
    <row r="58" spans="1:38">
      <c r="A58" s="390"/>
      <c r="B58" s="390"/>
      <c r="C58" s="390"/>
      <c r="D58" s="390"/>
      <c r="E58" s="390"/>
      <c r="F58" s="390"/>
      <c r="G58" s="390"/>
      <c r="H58" s="390"/>
      <c r="I58" s="390"/>
      <c r="J58" s="390"/>
      <c r="K58" s="390"/>
      <c r="L58" s="390"/>
      <c r="M58" s="395"/>
      <c r="N58" s="390"/>
      <c r="O58" s="390"/>
      <c r="P58" s="390"/>
      <c r="Q58" s="390"/>
      <c r="R58" s="390"/>
      <c r="S58" s="390"/>
      <c r="T58" s="390"/>
      <c r="U58" s="390"/>
      <c r="V58" s="390"/>
      <c r="W58" s="390"/>
      <c r="X58" s="390"/>
      <c r="Y58" s="390"/>
      <c r="Z58" s="390"/>
      <c r="AA58" s="390"/>
      <c r="AB58" s="390"/>
      <c r="AC58" s="390"/>
      <c r="AD58" s="390"/>
      <c r="AE58" s="390"/>
      <c r="AF58" s="390"/>
      <c r="AG58" s="390"/>
      <c r="AH58" s="390"/>
      <c r="AI58" s="390"/>
      <c r="AJ58" s="390"/>
      <c r="AK58" s="390"/>
      <c r="AL58" s="390"/>
    </row>
    <row r="59" spans="1:38">
      <c r="A59" s="390"/>
      <c r="B59" s="390"/>
      <c r="C59" s="390"/>
      <c r="D59" s="390"/>
      <c r="E59" s="390"/>
      <c r="F59" s="390"/>
      <c r="G59" s="390"/>
      <c r="H59" s="390"/>
      <c r="I59" s="390"/>
      <c r="J59" s="390"/>
      <c r="K59" s="390"/>
      <c r="L59" s="390"/>
      <c r="M59" s="395"/>
      <c r="N59" s="390"/>
      <c r="O59" s="390"/>
      <c r="P59" s="390"/>
      <c r="Q59" s="390"/>
      <c r="R59" s="390"/>
      <c r="S59" s="390"/>
      <c r="T59" s="390"/>
      <c r="U59" s="390"/>
      <c r="V59" s="390"/>
      <c r="W59" s="390"/>
      <c r="X59" s="390"/>
      <c r="Y59" s="390"/>
      <c r="Z59" s="390"/>
      <c r="AA59" s="390"/>
      <c r="AB59" s="390"/>
      <c r="AC59" s="390"/>
      <c r="AD59" s="390"/>
      <c r="AE59" s="390"/>
      <c r="AF59" s="390"/>
      <c r="AG59" s="390"/>
      <c r="AH59" s="390"/>
      <c r="AI59" s="390"/>
      <c r="AJ59" s="390"/>
      <c r="AK59" s="390"/>
      <c r="AL59" s="390"/>
    </row>
    <row r="60" spans="1:38">
      <c r="A60" s="390"/>
      <c r="B60" s="390"/>
      <c r="C60" s="390"/>
      <c r="D60" s="390"/>
      <c r="E60" s="390"/>
      <c r="F60" s="390"/>
      <c r="G60" s="390"/>
      <c r="H60" s="390"/>
      <c r="I60" s="390"/>
      <c r="J60" s="390"/>
      <c r="K60" s="390"/>
      <c r="L60" s="390"/>
      <c r="M60" s="395"/>
      <c r="N60" s="390"/>
      <c r="O60" s="390"/>
      <c r="P60" s="390"/>
      <c r="Q60" s="390"/>
      <c r="R60" s="390"/>
      <c r="S60" s="390"/>
      <c r="T60" s="390"/>
      <c r="U60" s="390"/>
      <c r="V60" s="390"/>
      <c r="W60" s="390"/>
      <c r="X60" s="390"/>
      <c r="Y60" s="390"/>
      <c r="Z60" s="390"/>
      <c r="AA60" s="390"/>
      <c r="AB60" s="390"/>
      <c r="AC60" s="390"/>
      <c r="AD60" s="390"/>
      <c r="AE60" s="390"/>
      <c r="AF60" s="390"/>
      <c r="AG60" s="390"/>
      <c r="AH60" s="390"/>
      <c r="AI60" s="390"/>
      <c r="AJ60" s="390"/>
      <c r="AK60" s="390"/>
      <c r="AL60" s="390"/>
    </row>
    <row r="61" spans="1:38">
      <c r="A61" s="390"/>
      <c r="B61" s="390"/>
      <c r="C61" s="390"/>
      <c r="D61" s="390"/>
      <c r="E61" s="390"/>
      <c r="F61" s="390"/>
      <c r="G61" s="390"/>
      <c r="H61" s="390"/>
      <c r="I61" s="390"/>
      <c r="J61" s="390"/>
      <c r="K61" s="390"/>
      <c r="L61" s="390"/>
      <c r="M61" s="395"/>
      <c r="N61" s="390"/>
      <c r="O61" s="390"/>
      <c r="P61" s="390"/>
      <c r="Q61" s="390"/>
      <c r="R61" s="390"/>
      <c r="S61" s="390"/>
      <c r="T61" s="390"/>
      <c r="U61" s="390"/>
      <c r="V61" s="390"/>
      <c r="W61" s="390"/>
      <c r="X61" s="390"/>
      <c r="Y61" s="390"/>
      <c r="Z61" s="390"/>
      <c r="AA61" s="390"/>
      <c r="AB61" s="390"/>
      <c r="AC61" s="390"/>
      <c r="AD61" s="390"/>
      <c r="AE61" s="390"/>
      <c r="AF61" s="390"/>
      <c r="AG61" s="390"/>
      <c r="AH61" s="390"/>
      <c r="AI61" s="390"/>
      <c r="AJ61" s="390"/>
      <c r="AK61" s="390"/>
      <c r="AL61" s="390"/>
    </row>
    <row r="62" spans="1:38">
      <c r="A62" s="390"/>
      <c r="B62" s="390"/>
      <c r="C62" s="390"/>
      <c r="D62" s="390"/>
      <c r="E62" s="390"/>
      <c r="F62" s="390"/>
      <c r="G62" s="390"/>
      <c r="H62" s="390"/>
      <c r="I62" s="390"/>
      <c r="J62" s="390"/>
      <c r="K62" s="390"/>
      <c r="L62" s="390"/>
      <c r="M62" s="395"/>
      <c r="N62" s="390"/>
      <c r="O62" s="390"/>
      <c r="P62" s="390"/>
      <c r="Q62" s="390"/>
      <c r="R62" s="390"/>
      <c r="S62" s="390"/>
      <c r="T62" s="390"/>
      <c r="U62" s="390"/>
      <c r="V62" s="390"/>
      <c r="W62" s="390"/>
      <c r="X62" s="390"/>
      <c r="Y62" s="390"/>
      <c r="Z62" s="390"/>
      <c r="AA62" s="390"/>
      <c r="AB62" s="390"/>
      <c r="AC62" s="390"/>
      <c r="AD62" s="390"/>
      <c r="AE62" s="390"/>
      <c r="AF62" s="390"/>
      <c r="AG62" s="390"/>
      <c r="AH62" s="390"/>
      <c r="AI62" s="390"/>
      <c r="AJ62" s="390"/>
      <c r="AK62" s="390"/>
      <c r="AL62" s="390"/>
    </row>
    <row r="63" spans="1:38">
      <c r="A63" s="390"/>
      <c r="B63" s="390"/>
      <c r="C63" s="390"/>
      <c r="D63" s="390"/>
      <c r="E63" s="390"/>
      <c r="F63" s="390"/>
      <c r="G63" s="390"/>
      <c r="H63" s="390"/>
      <c r="I63" s="390"/>
      <c r="J63" s="390"/>
      <c r="K63" s="390"/>
      <c r="L63" s="390"/>
      <c r="M63" s="395"/>
      <c r="N63" s="390"/>
      <c r="O63" s="390"/>
      <c r="P63" s="390"/>
      <c r="Q63" s="390"/>
      <c r="R63" s="390"/>
      <c r="S63" s="390"/>
      <c r="T63" s="390"/>
      <c r="U63" s="390"/>
      <c r="V63" s="390"/>
      <c r="W63" s="390"/>
      <c r="X63" s="390"/>
      <c r="Y63" s="390"/>
      <c r="Z63" s="390"/>
      <c r="AA63" s="390"/>
      <c r="AB63" s="390"/>
      <c r="AC63" s="390"/>
      <c r="AD63" s="390"/>
      <c r="AE63" s="390"/>
      <c r="AF63" s="390"/>
      <c r="AG63" s="390"/>
      <c r="AH63" s="390"/>
      <c r="AI63" s="390"/>
      <c r="AJ63" s="390"/>
      <c r="AK63" s="390"/>
      <c r="AL63" s="390"/>
    </row>
    <row r="64" spans="1:38">
      <c r="A64" s="390"/>
      <c r="B64" s="390"/>
      <c r="C64" s="390"/>
      <c r="D64" s="390"/>
      <c r="E64" s="390"/>
      <c r="F64" s="390"/>
      <c r="G64" s="390"/>
      <c r="H64" s="390"/>
      <c r="I64" s="390"/>
      <c r="J64" s="390"/>
      <c r="K64" s="390"/>
      <c r="L64" s="390"/>
      <c r="M64" s="395"/>
      <c r="N64" s="390"/>
      <c r="O64" s="390"/>
      <c r="P64" s="390"/>
      <c r="Q64" s="390"/>
      <c r="R64" s="390"/>
      <c r="S64" s="390"/>
      <c r="T64" s="390"/>
      <c r="U64" s="390"/>
      <c r="V64" s="390"/>
      <c r="W64" s="390"/>
      <c r="X64" s="390"/>
      <c r="Y64" s="390"/>
      <c r="Z64" s="390"/>
      <c r="AA64" s="390"/>
      <c r="AB64" s="390"/>
      <c r="AC64" s="390"/>
      <c r="AD64" s="390"/>
      <c r="AE64" s="390"/>
      <c r="AF64" s="390"/>
      <c r="AG64" s="390"/>
      <c r="AH64" s="390"/>
      <c r="AI64" s="390"/>
      <c r="AJ64" s="390"/>
      <c r="AK64" s="390"/>
      <c r="AL64" s="390"/>
    </row>
    <row r="65" spans="1:38">
      <c r="A65" s="390"/>
      <c r="B65" s="390"/>
      <c r="C65" s="390"/>
      <c r="D65" s="390"/>
      <c r="E65" s="390"/>
      <c r="F65" s="390"/>
      <c r="G65" s="390"/>
      <c r="H65" s="390"/>
      <c r="I65" s="390"/>
      <c r="J65" s="390"/>
      <c r="K65" s="390"/>
      <c r="L65" s="390"/>
      <c r="M65" s="395"/>
      <c r="N65" s="390"/>
      <c r="O65" s="390"/>
      <c r="P65" s="390"/>
      <c r="Q65" s="390"/>
      <c r="R65" s="390"/>
      <c r="S65" s="390"/>
      <c r="T65" s="390"/>
      <c r="U65" s="390"/>
      <c r="V65" s="390"/>
      <c r="W65" s="390"/>
      <c r="X65" s="390"/>
      <c r="Y65" s="390"/>
      <c r="Z65" s="390"/>
      <c r="AA65" s="390"/>
      <c r="AB65" s="390"/>
      <c r="AC65" s="390"/>
      <c r="AD65" s="390"/>
      <c r="AE65" s="390"/>
      <c r="AF65" s="390"/>
      <c r="AG65" s="390"/>
      <c r="AH65" s="390"/>
      <c r="AI65" s="390"/>
      <c r="AJ65" s="390"/>
      <c r="AK65" s="390"/>
      <c r="AL65" s="390"/>
    </row>
    <row r="66" spans="1:38">
      <c r="A66" s="390"/>
      <c r="B66" s="390"/>
      <c r="C66" s="390"/>
      <c r="D66" s="390"/>
      <c r="E66" s="390"/>
      <c r="F66" s="390"/>
      <c r="G66" s="390"/>
      <c r="H66" s="390"/>
      <c r="I66" s="390"/>
      <c r="J66" s="390"/>
      <c r="K66" s="390"/>
      <c r="L66" s="390"/>
      <c r="M66" s="395"/>
      <c r="N66" s="390"/>
      <c r="O66" s="390"/>
      <c r="P66" s="390"/>
      <c r="Q66" s="390"/>
      <c r="R66" s="390"/>
      <c r="S66" s="390"/>
      <c r="T66" s="390"/>
      <c r="U66" s="390"/>
      <c r="V66" s="390"/>
      <c r="W66" s="390"/>
      <c r="X66" s="390"/>
      <c r="Y66" s="390"/>
      <c r="Z66" s="390"/>
      <c r="AA66" s="390"/>
      <c r="AB66" s="390"/>
      <c r="AC66" s="390"/>
      <c r="AD66" s="390"/>
      <c r="AE66" s="390"/>
      <c r="AF66" s="390"/>
      <c r="AG66" s="390"/>
      <c r="AH66" s="390"/>
      <c r="AI66" s="390"/>
      <c r="AJ66" s="390"/>
      <c r="AK66" s="390"/>
      <c r="AL66" s="390"/>
    </row>
    <row r="67" spans="1:38">
      <c r="A67" s="390"/>
      <c r="B67" s="390"/>
      <c r="C67" s="390"/>
      <c r="D67" s="390"/>
      <c r="E67" s="390"/>
      <c r="F67" s="390"/>
      <c r="G67" s="390"/>
      <c r="H67" s="390"/>
      <c r="I67" s="390"/>
      <c r="J67" s="390"/>
      <c r="K67" s="390"/>
      <c r="L67" s="390"/>
      <c r="M67" s="395"/>
      <c r="N67" s="390"/>
      <c r="O67" s="390"/>
      <c r="P67" s="390"/>
      <c r="Q67" s="390"/>
      <c r="R67" s="390"/>
      <c r="S67" s="390"/>
      <c r="T67" s="390"/>
      <c r="U67" s="390"/>
      <c r="V67" s="390"/>
      <c r="W67" s="390"/>
      <c r="X67" s="390"/>
      <c r="Y67" s="390"/>
      <c r="Z67" s="390"/>
      <c r="AA67" s="390"/>
      <c r="AB67" s="390"/>
      <c r="AC67" s="390"/>
      <c r="AD67" s="390"/>
      <c r="AE67" s="390"/>
      <c r="AF67" s="390"/>
      <c r="AG67" s="390"/>
      <c r="AH67" s="390"/>
      <c r="AI67" s="390"/>
      <c r="AJ67" s="390"/>
      <c r="AK67" s="390"/>
      <c r="AL67" s="390"/>
    </row>
    <row r="68" spans="1:38">
      <c r="A68" s="390"/>
      <c r="B68" s="390"/>
      <c r="C68" s="390"/>
      <c r="D68" s="390"/>
      <c r="E68" s="390"/>
      <c r="F68" s="390"/>
      <c r="G68" s="390"/>
      <c r="H68" s="390"/>
      <c r="I68" s="390"/>
      <c r="J68" s="390"/>
      <c r="K68" s="390"/>
      <c r="L68" s="390"/>
      <c r="M68" s="395"/>
      <c r="N68" s="390"/>
      <c r="O68" s="390"/>
      <c r="P68" s="390"/>
      <c r="Q68" s="390"/>
      <c r="R68" s="390"/>
      <c r="S68" s="390"/>
      <c r="T68" s="390"/>
      <c r="U68" s="390"/>
      <c r="V68" s="390"/>
      <c r="W68" s="390"/>
      <c r="X68" s="390"/>
      <c r="Y68" s="390"/>
      <c r="Z68" s="390"/>
      <c r="AA68" s="390"/>
      <c r="AB68" s="390"/>
      <c r="AC68" s="390"/>
      <c r="AD68" s="390"/>
      <c r="AE68" s="390"/>
      <c r="AF68" s="390"/>
      <c r="AG68" s="390"/>
      <c r="AH68" s="390"/>
      <c r="AI68" s="390"/>
      <c r="AJ68" s="390"/>
      <c r="AK68" s="390"/>
      <c r="AL68" s="390"/>
    </row>
    <row r="69" spans="1:38">
      <c r="A69" s="390"/>
      <c r="B69" s="390"/>
      <c r="C69" s="390"/>
      <c r="D69" s="390"/>
      <c r="E69" s="390"/>
      <c r="F69" s="390"/>
      <c r="G69" s="390"/>
      <c r="H69" s="390"/>
      <c r="I69" s="390"/>
      <c r="J69" s="390"/>
      <c r="K69" s="390"/>
      <c r="L69" s="390"/>
      <c r="M69" s="395"/>
      <c r="N69" s="390"/>
      <c r="O69" s="390"/>
      <c r="P69" s="390"/>
      <c r="Q69" s="390"/>
      <c r="R69" s="390"/>
      <c r="S69" s="390"/>
      <c r="T69" s="390"/>
      <c r="U69" s="390"/>
      <c r="V69" s="390"/>
      <c r="W69" s="390"/>
      <c r="X69" s="390"/>
      <c r="Y69" s="390"/>
      <c r="Z69" s="390"/>
      <c r="AA69" s="390"/>
      <c r="AB69" s="390"/>
      <c r="AC69" s="390"/>
      <c r="AD69" s="390"/>
      <c r="AE69" s="390"/>
      <c r="AF69" s="390"/>
      <c r="AG69" s="390"/>
      <c r="AH69" s="390"/>
      <c r="AI69" s="390"/>
      <c r="AJ69" s="390"/>
      <c r="AK69" s="390"/>
      <c r="AL69" s="390"/>
    </row>
    <row r="70" spans="1:38">
      <c r="A70" s="390"/>
      <c r="B70" s="390"/>
      <c r="C70" s="390"/>
      <c r="D70" s="390"/>
      <c r="E70" s="390"/>
      <c r="F70" s="390"/>
      <c r="G70" s="390"/>
      <c r="H70" s="390"/>
      <c r="I70" s="390"/>
      <c r="J70" s="390"/>
      <c r="K70" s="390"/>
      <c r="L70" s="390"/>
      <c r="M70" s="395"/>
      <c r="N70" s="390"/>
      <c r="O70" s="390"/>
      <c r="P70" s="390"/>
      <c r="Q70" s="390"/>
      <c r="R70" s="390"/>
      <c r="S70" s="390"/>
      <c r="T70" s="390"/>
      <c r="U70" s="390"/>
      <c r="V70" s="390"/>
      <c r="W70" s="390"/>
      <c r="X70" s="390"/>
      <c r="Y70" s="390"/>
      <c r="Z70" s="390"/>
      <c r="AA70" s="390"/>
      <c r="AB70" s="390"/>
      <c r="AC70" s="390"/>
      <c r="AD70" s="390"/>
      <c r="AE70" s="390"/>
      <c r="AF70" s="390"/>
      <c r="AG70" s="390"/>
      <c r="AH70" s="390"/>
      <c r="AI70" s="390"/>
      <c r="AJ70" s="390"/>
      <c r="AK70" s="390"/>
      <c r="AL70" s="390"/>
    </row>
    <row r="71" spans="1:38">
      <c r="A71" s="390"/>
      <c r="B71" s="390"/>
      <c r="C71" s="390"/>
      <c r="D71" s="390"/>
      <c r="E71" s="390"/>
      <c r="F71" s="390"/>
      <c r="G71" s="390"/>
      <c r="H71" s="390"/>
      <c r="I71" s="390"/>
      <c r="J71" s="390"/>
      <c r="K71" s="390"/>
      <c r="L71" s="390"/>
      <c r="M71" s="395"/>
      <c r="N71" s="390"/>
      <c r="O71" s="390"/>
      <c r="P71" s="390"/>
      <c r="Q71" s="390"/>
      <c r="R71" s="390"/>
      <c r="S71" s="390"/>
      <c r="T71" s="390"/>
      <c r="U71" s="390"/>
      <c r="V71" s="390"/>
      <c r="W71" s="390"/>
      <c r="X71" s="390"/>
      <c r="Y71" s="390"/>
      <c r="Z71" s="390"/>
      <c r="AA71" s="390"/>
      <c r="AB71" s="390"/>
      <c r="AC71" s="390"/>
      <c r="AD71" s="390"/>
      <c r="AE71" s="390"/>
      <c r="AF71" s="390"/>
      <c r="AG71" s="390"/>
      <c r="AH71" s="390"/>
      <c r="AI71" s="390"/>
      <c r="AJ71" s="390"/>
      <c r="AK71" s="390"/>
      <c r="AL71" s="390"/>
    </row>
    <row r="72" spans="1:38">
      <c r="A72" s="390"/>
      <c r="B72" s="390"/>
      <c r="C72" s="390"/>
      <c r="D72" s="390"/>
      <c r="E72" s="390"/>
      <c r="F72" s="390"/>
      <c r="G72" s="390"/>
      <c r="H72" s="390"/>
      <c r="I72" s="390"/>
      <c r="J72" s="390"/>
      <c r="K72" s="390"/>
      <c r="L72" s="390"/>
      <c r="M72" s="395"/>
      <c r="N72" s="390"/>
      <c r="O72" s="390"/>
      <c r="P72" s="390"/>
      <c r="Q72" s="390"/>
      <c r="R72" s="390"/>
      <c r="S72" s="390"/>
      <c r="T72" s="390"/>
      <c r="U72" s="390"/>
      <c r="V72" s="390"/>
      <c r="W72" s="390"/>
      <c r="X72" s="390"/>
      <c r="Y72" s="390"/>
      <c r="Z72" s="390"/>
      <c r="AA72" s="390"/>
      <c r="AB72" s="390"/>
      <c r="AC72" s="390"/>
      <c r="AD72" s="390"/>
      <c r="AE72" s="390"/>
      <c r="AF72" s="390"/>
      <c r="AG72" s="390"/>
      <c r="AH72" s="390"/>
      <c r="AI72" s="390"/>
      <c r="AJ72" s="390"/>
      <c r="AK72" s="390"/>
      <c r="AL72" s="390"/>
    </row>
    <row r="73" spans="1:38">
      <c r="A73" s="390"/>
      <c r="B73" s="390"/>
      <c r="C73" s="390"/>
      <c r="D73" s="390"/>
      <c r="E73" s="390"/>
      <c r="F73" s="390"/>
      <c r="G73" s="390"/>
      <c r="H73" s="390"/>
      <c r="I73" s="390"/>
      <c r="J73" s="390"/>
      <c r="K73" s="390"/>
      <c r="L73" s="390"/>
      <c r="M73" s="395"/>
      <c r="N73" s="390"/>
      <c r="O73" s="390"/>
      <c r="P73" s="390"/>
      <c r="Q73" s="390"/>
      <c r="R73" s="390"/>
      <c r="S73" s="390"/>
      <c r="T73" s="390"/>
      <c r="U73" s="390"/>
      <c r="V73" s="390"/>
      <c r="W73" s="390"/>
      <c r="X73" s="390"/>
      <c r="Y73" s="390"/>
      <c r="Z73" s="390"/>
      <c r="AA73" s="390"/>
      <c r="AB73" s="390"/>
      <c r="AC73" s="390"/>
      <c r="AD73" s="390"/>
      <c r="AE73" s="390"/>
      <c r="AF73" s="390"/>
      <c r="AG73" s="390"/>
      <c r="AH73" s="390"/>
      <c r="AI73" s="390"/>
      <c r="AJ73" s="390"/>
      <c r="AK73" s="390"/>
      <c r="AL73" s="390"/>
    </row>
    <row r="74" spans="1:38">
      <c r="A74" s="390"/>
      <c r="B74" s="390"/>
      <c r="C74" s="390"/>
      <c r="D74" s="390"/>
      <c r="E74" s="390"/>
      <c r="F74" s="390"/>
      <c r="G74" s="390"/>
      <c r="H74" s="390"/>
      <c r="I74" s="390"/>
      <c r="J74" s="390"/>
      <c r="K74" s="390"/>
      <c r="L74" s="390"/>
      <c r="M74" s="395"/>
      <c r="N74" s="390"/>
      <c r="O74" s="390"/>
      <c r="P74" s="390"/>
      <c r="Q74" s="390"/>
      <c r="R74" s="390"/>
      <c r="S74" s="390"/>
      <c r="T74" s="390"/>
      <c r="U74" s="390"/>
      <c r="V74" s="390"/>
      <c r="W74" s="390"/>
      <c r="X74" s="390"/>
      <c r="Y74" s="390"/>
      <c r="Z74" s="390"/>
      <c r="AA74" s="390"/>
      <c r="AB74" s="390"/>
      <c r="AC74" s="390"/>
      <c r="AD74" s="390"/>
      <c r="AE74" s="390"/>
      <c r="AF74" s="390"/>
      <c r="AG74" s="390"/>
      <c r="AH74" s="390"/>
      <c r="AI74" s="390"/>
      <c r="AJ74" s="390"/>
      <c r="AK74" s="390"/>
      <c r="AL74" s="390"/>
    </row>
    <row r="75" spans="1:38">
      <c r="A75" s="390"/>
      <c r="B75" s="390"/>
      <c r="C75" s="390"/>
      <c r="D75" s="390"/>
      <c r="E75" s="390"/>
      <c r="F75" s="390"/>
      <c r="G75" s="390"/>
      <c r="H75" s="390"/>
      <c r="I75" s="390"/>
      <c r="J75" s="390"/>
      <c r="K75" s="390"/>
      <c r="L75" s="390"/>
      <c r="M75" s="395"/>
      <c r="N75" s="390"/>
      <c r="O75" s="390"/>
      <c r="P75" s="390"/>
      <c r="Q75" s="390"/>
      <c r="R75" s="390"/>
      <c r="S75" s="390"/>
      <c r="T75" s="390"/>
      <c r="U75" s="390"/>
      <c r="V75" s="390"/>
      <c r="W75" s="390"/>
      <c r="X75" s="390"/>
      <c r="Y75" s="390"/>
      <c r="Z75" s="390"/>
      <c r="AA75" s="390"/>
      <c r="AB75" s="390"/>
      <c r="AC75" s="390"/>
      <c r="AD75" s="390"/>
      <c r="AE75" s="390"/>
      <c r="AF75" s="390"/>
      <c r="AG75" s="390"/>
      <c r="AH75" s="390"/>
      <c r="AI75" s="390"/>
      <c r="AJ75" s="390"/>
      <c r="AK75" s="390"/>
      <c r="AL75" s="390"/>
    </row>
    <row r="76" spans="1:38">
      <c r="A76" s="390"/>
      <c r="B76" s="390"/>
      <c r="C76" s="390"/>
      <c r="D76" s="390"/>
      <c r="E76" s="390"/>
      <c r="F76" s="390"/>
      <c r="G76" s="390"/>
      <c r="H76" s="390"/>
      <c r="I76" s="390"/>
      <c r="J76" s="390"/>
      <c r="K76" s="390"/>
      <c r="L76" s="390"/>
      <c r="M76" s="395"/>
      <c r="N76" s="390"/>
      <c r="O76" s="390"/>
      <c r="P76" s="390"/>
      <c r="Q76" s="390"/>
      <c r="R76" s="390"/>
      <c r="S76" s="390"/>
      <c r="T76" s="390"/>
      <c r="U76" s="390"/>
      <c r="V76" s="390"/>
      <c r="W76" s="390"/>
      <c r="X76" s="390"/>
      <c r="Y76" s="390"/>
      <c r="Z76" s="390"/>
      <c r="AA76" s="390"/>
      <c r="AB76" s="390"/>
      <c r="AC76" s="390"/>
      <c r="AD76" s="390"/>
      <c r="AE76" s="390"/>
      <c r="AF76" s="390"/>
      <c r="AG76" s="390"/>
      <c r="AH76" s="390"/>
      <c r="AI76" s="390"/>
      <c r="AJ76" s="390"/>
      <c r="AK76" s="390"/>
      <c r="AL76" s="390"/>
    </row>
    <row r="77" spans="1:38">
      <c r="A77" s="390"/>
      <c r="B77" s="390"/>
      <c r="C77" s="390"/>
      <c r="D77" s="390"/>
      <c r="E77" s="390"/>
      <c r="F77" s="390"/>
      <c r="G77" s="390"/>
      <c r="H77" s="390"/>
      <c r="I77" s="390"/>
      <c r="J77" s="390"/>
      <c r="K77" s="390"/>
      <c r="L77" s="390"/>
      <c r="M77" s="395"/>
      <c r="N77" s="390"/>
      <c r="O77" s="390"/>
      <c r="P77" s="390"/>
      <c r="Q77" s="390"/>
      <c r="R77" s="390"/>
      <c r="S77" s="390"/>
      <c r="T77" s="390"/>
      <c r="U77" s="390"/>
      <c r="V77" s="390"/>
      <c r="W77" s="390"/>
      <c r="X77" s="390"/>
      <c r="Y77" s="390"/>
      <c r="Z77" s="390"/>
      <c r="AA77" s="390"/>
      <c r="AB77" s="390"/>
      <c r="AC77" s="390"/>
      <c r="AD77" s="390"/>
      <c r="AE77" s="390"/>
      <c r="AF77" s="390"/>
      <c r="AG77" s="390"/>
      <c r="AH77" s="390"/>
      <c r="AI77" s="390"/>
      <c r="AJ77" s="390"/>
      <c r="AK77" s="390"/>
      <c r="AL77" s="390"/>
    </row>
    <row r="78" spans="1:38">
      <c r="A78" s="390"/>
      <c r="B78" s="390"/>
      <c r="C78" s="390"/>
      <c r="D78" s="390"/>
      <c r="E78" s="390"/>
      <c r="F78" s="390"/>
      <c r="G78" s="390"/>
      <c r="H78" s="390"/>
      <c r="I78" s="390"/>
      <c r="J78" s="390"/>
      <c r="K78" s="390"/>
      <c r="L78" s="390"/>
      <c r="M78" s="395"/>
      <c r="N78" s="390"/>
      <c r="O78" s="390"/>
      <c r="P78" s="390"/>
      <c r="Q78" s="390"/>
      <c r="R78" s="390"/>
      <c r="S78" s="390"/>
      <c r="T78" s="390"/>
      <c r="U78" s="390"/>
      <c r="V78" s="390"/>
      <c r="W78" s="390"/>
      <c r="X78" s="390"/>
      <c r="Y78" s="390"/>
      <c r="Z78" s="390"/>
      <c r="AA78" s="390"/>
      <c r="AB78" s="390"/>
      <c r="AC78" s="390"/>
      <c r="AD78" s="390"/>
      <c r="AE78" s="390"/>
      <c r="AF78" s="390"/>
      <c r="AG78" s="390"/>
      <c r="AH78" s="390"/>
      <c r="AI78" s="390"/>
      <c r="AJ78" s="390"/>
      <c r="AK78" s="390"/>
      <c r="AL78" s="390"/>
    </row>
    <row r="79" spans="1:38">
      <c r="A79" s="390"/>
      <c r="B79" s="390"/>
      <c r="C79" s="390"/>
      <c r="D79" s="390"/>
      <c r="E79" s="390"/>
      <c r="F79" s="390"/>
      <c r="G79" s="390"/>
      <c r="H79" s="390"/>
      <c r="I79" s="390"/>
      <c r="J79" s="390"/>
      <c r="K79" s="390"/>
      <c r="L79" s="390"/>
      <c r="M79" s="395"/>
      <c r="N79" s="390"/>
      <c r="O79" s="390"/>
      <c r="P79" s="390"/>
      <c r="Q79" s="390"/>
      <c r="R79" s="390"/>
      <c r="S79" s="390"/>
      <c r="T79" s="390"/>
      <c r="U79" s="390"/>
      <c r="V79" s="390"/>
      <c r="W79" s="390"/>
      <c r="X79" s="390"/>
      <c r="Y79" s="390"/>
      <c r="Z79" s="390"/>
      <c r="AA79" s="390"/>
      <c r="AB79" s="390"/>
      <c r="AC79" s="390"/>
      <c r="AD79" s="390"/>
      <c r="AE79" s="390"/>
      <c r="AF79" s="390"/>
      <c r="AG79" s="390"/>
      <c r="AH79" s="390"/>
      <c r="AI79" s="390"/>
      <c r="AJ79" s="390"/>
      <c r="AK79" s="390"/>
      <c r="AL79" s="390"/>
    </row>
    <row r="80" spans="1:38">
      <c r="A80" s="390"/>
      <c r="B80" s="390"/>
      <c r="C80" s="390"/>
      <c r="D80" s="390"/>
      <c r="E80" s="390"/>
      <c r="F80" s="390"/>
      <c r="G80" s="390"/>
      <c r="H80" s="390"/>
      <c r="I80" s="390"/>
      <c r="J80" s="390"/>
      <c r="K80" s="390"/>
      <c r="L80" s="390"/>
      <c r="M80" s="395"/>
      <c r="N80" s="390"/>
      <c r="O80" s="390"/>
      <c r="P80" s="390"/>
      <c r="Q80" s="390"/>
      <c r="R80" s="390"/>
      <c r="S80" s="390"/>
      <c r="T80" s="390"/>
      <c r="U80" s="390"/>
      <c r="V80" s="390"/>
      <c r="W80" s="390"/>
      <c r="X80" s="390"/>
      <c r="Y80" s="390"/>
      <c r="Z80" s="390"/>
      <c r="AA80" s="390"/>
      <c r="AB80" s="390"/>
      <c r="AC80" s="390"/>
      <c r="AD80" s="390"/>
      <c r="AE80" s="390"/>
      <c r="AF80" s="390"/>
      <c r="AG80" s="390"/>
      <c r="AH80" s="390"/>
      <c r="AI80" s="390"/>
      <c r="AJ80" s="390"/>
      <c r="AK80" s="390"/>
      <c r="AL80" s="390"/>
    </row>
    <row r="81" spans="1:38">
      <c r="A81" s="390"/>
      <c r="B81" s="390"/>
      <c r="C81" s="390"/>
      <c r="D81" s="390"/>
      <c r="E81" s="390"/>
      <c r="F81" s="390"/>
      <c r="G81" s="390"/>
      <c r="H81" s="390"/>
      <c r="I81" s="390"/>
      <c r="J81" s="390"/>
      <c r="K81" s="390"/>
      <c r="L81" s="390"/>
      <c r="M81" s="395"/>
      <c r="N81" s="390"/>
      <c r="O81" s="390"/>
      <c r="P81" s="390"/>
      <c r="Q81" s="390"/>
      <c r="R81" s="390"/>
      <c r="S81" s="390"/>
      <c r="T81" s="390"/>
      <c r="U81" s="390"/>
      <c r="V81" s="390"/>
      <c r="W81" s="390"/>
      <c r="X81" s="390"/>
      <c r="Y81" s="390"/>
      <c r="Z81" s="390"/>
      <c r="AA81" s="390"/>
      <c r="AB81" s="390"/>
      <c r="AC81" s="390"/>
      <c r="AD81" s="390"/>
      <c r="AE81" s="390"/>
      <c r="AF81" s="390"/>
      <c r="AG81" s="390"/>
      <c r="AH81" s="390"/>
      <c r="AI81" s="390"/>
      <c r="AJ81" s="390"/>
      <c r="AK81" s="390"/>
      <c r="AL81" s="390"/>
    </row>
    <row r="82" spans="1:38">
      <c r="A82" s="390"/>
      <c r="B82" s="390"/>
      <c r="C82" s="390"/>
      <c r="D82" s="390"/>
      <c r="E82" s="390"/>
      <c r="F82" s="390"/>
      <c r="G82" s="390"/>
      <c r="H82" s="390"/>
      <c r="I82" s="390"/>
      <c r="J82" s="390"/>
      <c r="K82" s="390"/>
      <c r="L82" s="390"/>
      <c r="M82" s="395"/>
      <c r="N82" s="390"/>
      <c r="O82" s="390"/>
      <c r="P82" s="390"/>
      <c r="Q82" s="390"/>
      <c r="R82" s="390"/>
      <c r="S82" s="390"/>
      <c r="T82" s="390"/>
      <c r="U82" s="390"/>
      <c r="V82" s="390"/>
      <c r="W82" s="390"/>
      <c r="X82" s="390"/>
      <c r="Y82" s="390"/>
      <c r="Z82" s="390"/>
      <c r="AA82" s="390"/>
      <c r="AB82" s="390"/>
      <c r="AC82" s="390"/>
      <c r="AD82" s="390"/>
      <c r="AE82" s="390"/>
      <c r="AF82" s="390"/>
      <c r="AG82" s="390"/>
      <c r="AH82" s="390"/>
      <c r="AI82" s="390"/>
      <c r="AJ82" s="390"/>
      <c r="AK82" s="390"/>
      <c r="AL82" s="390"/>
    </row>
    <row r="83" spans="1:38">
      <c r="A83" s="390"/>
      <c r="B83" s="390"/>
      <c r="C83" s="390"/>
      <c r="D83" s="390"/>
      <c r="E83" s="390"/>
      <c r="F83" s="390"/>
      <c r="G83" s="390"/>
      <c r="H83" s="390"/>
      <c r="I83" s="390"/>
      <c r="J83" s="390"/>
      <c r="K83" s="390"/>
      <c r="L83" s="390"/>
      <c r="M83" s="395"/>
      <c r="N83" s="390"/>
      <c r="O83" s="390"/>
      <c r="P83" s="390"/>
      <c r="Q83" s="390"/>
      <c r="R83" s="390"/>
      <c r="S83" s="390"/>
      <c r="T83" s="390"/>
      <c r="U83" s="390"/>
      <c r="V83" s="390"/>
      <c r="W83" s="390"/>
      <c r="X83" s="390"/>
      <c r="Y83" s="390"/>
      <c r="Z83" s="390"/>
      <c r="AA83" s="390"/>
      <c r="AB83" s="390"/>
      <c r="AC83" s="390"/>
      <c r="AD83" s="390"/>
      <c r="AE83" s="390"/>
      <c r="AF83" s="390"/>
      <c r="AG83" s="390"/>
      <c r="AH83" s="390"/>
      <c r="AI83" s="390"/>
      <c r="AJ83" s="390"/>
      <c r="AK83" s="390"/>
      <c r="AL83" s="390"/>
    </row>
    <row r="84" spans="1:38">
      <c r="A84" s="390"/>
      <c r="B84" s="390"/>
      <c r="C84" s="390"/>
      <c r="D84" s="390"/>
      <c r="E84" s="390"/>
      <c r="F84" s="390"/>
      <c r="G84" s="390"/>
      <c r="H84" s="390"/>
      <c r="I84" s="390"/>
      <c r="J84" s="390"/>
      <c r="K84" s="390"/>
      <c r="L84" s="390"/>
      <c r="M84" s="395"/>
      <c r="N84" s="390"/>
      <c r="O84" s="390"/>
      <c r="P84" s="390"/>
      <c r="Q84" s="390"/>
      <c r="R84" s="390"/>
      <c r="S84" s="390"/>
      <c r="T84" s="390"/>
      <c r="U84" s="390"/>
      <c r="V84" s="390"/>
      <c r="W84" s="390"/>
      <c r="X84" s="390"/>
      <c r="Y84" s="390"/>
      <c r="Z84" s="390"/>
      <c r="AA84" s="390"/>
      <c r="AB84" s="390"/>
      <c r="AC84" s="390"/>
      <c r="AD84" s="390"/>
      <c r="AE84" s="390"/>
      <c r="AF84" s="390"/>
      <c r="AG84" s="390"/>
      <c r="AH84" s="390"/>
      <c r="AI84" s="390"/>
      <c r="AJ84" s="390"/>
      <c r="AK84" s="390"/>
      <c r="AL84" s="390"/>
    </row>
    <row r="85" spans="1:38">
      <c r="A85" s="390"/>
      <c r="B85" s="390"/>
      <c r="C85" s="390"/>
      <c r="D85" s="390"/>
      <c r="E85" s="390"/>
      <c r="F85" s="390"/>
      <c r="G85" s="390"/>
      <c r="H85" s="390"/>
      <c r="I85" s="390"/>
      <c r="J85" s="390"/>
      <c r="K85" s="390"/>
      <c r="L85" s="390"/>
      <c r="M85" s="395"/>
      <c r="N85" s="390"/>
      <c r="O85" s="390"/>
      <c r="P85" s="390"/>
      <c r="Q85" s="390"/>
      <c r="R85" s="390"/>
      <c r="S85" s="390"/>
      <c r="T85" s="390"/>
      <c r="U85" s="390"/>
      <c r="V85" s="390"/>
      <c r="W85" s="390"/>
      <c r="X85" s="390"/>
      <c r="Y85" s="390"/>
      <c r="Z85" s="390"/>
      <c r="AA85" s="390"/>
      <c r="AB85" s="390"/>
      <c r="AC85" s="390"/>
      <c r="AD85" s="390"/>
      <c r="AE85" s="390"/>
      <c r="AF85" s="390"/>
      <c r="AG85" s="390"/>
      <c r="AH85" s="390"/>
      <c r="AI85" s="390"/>
      <c r="AJ85" s="390"/>
      <c r="AK85" s="390"/>
      <c r="AL85" s="390"/>
    </row>
    <row r="86" spans="1:38">
      <c r="A86" s="390"/>
      <c r="B86" s="390"/>
      <c r="C86" s="390"/>
      <c r="D86" s="390"/>
      <c r="E86" s="390"/>
      <c r="F86" s="390"/>
      <c r="G86" s="390"/>
      <c r="H86" s="390"/>
      <c r="I86" s="390"/>
      <c r="J86" s="390"/>
      <c r="K86" s="390"/>
      <c r="L86" s="390"/>
      <c r="M86" s="395"/>
      <c r="N86" s="390"/>
      <c r="O86" s="390"/>
      <c r="P86" s="390"/>
      <c r="Q86" s="390"/>
      <c r="R86" s="390"/>
      <c r="S86" s="390"/>
      <c r="T86" s="390"/>
      <c r="U86" s="390"/>
      <c r="V86" s="390"/>
      <c r="W86" s="390"/>
      <c r="X86" s="390"/>
      <c r="Y86" s="390"/>
      <c r="Z86" s="390"/>
      <c r="AA86" s="390"/>
      <c r="AB86" s="390"/>
      <c r="AC86" s="390"/>
      <c r="AD86" s="390"/>
      <c r="AE86" s="390"/>
      <c r="AF86" s="390"/>
      <c r="AG86" s="390"/>
      <c r="AH86" s="390"/>
      <c r="AI86" s="390"/>
      <c r="AJ86" s="390"/>
      <c r="AK86" s="390"/>
      <c r="AL86" s="390"/>
    </row>
    <row r="87" spans="1:38">
      <c r="A87" s="390"/>
      <c r="B87" s="390"/>
      <c r="C87" s="390"/>
      <c r="D87" s="390"/>
      <c r="E87" s="390"/>
      <c r="F87" s="390"/>
      <c r="G87" s="390"/>
      <c r="H87" s="390"/>
      <c r="I87" s="390"/>
      <c r="J87" s="390"/>
      <c r="K87" s="390"/>
      <c r="L87" s="390"/>
      <c r="M87" s="395"/>
      <c r="N87" s="390"/>
      <c r="O87" s="390"/>
      <c r="P87" s="390"/>
      <c r="Q87" s="390"/>
      <c r="R87" s="390"/>
      <c r="S87" s="390"/>
      <c r="T87" s="390"/>
      <c r="U87" s="390"/>
      <c r="V87" s="390"/>
      <c r="W87" s="390"/>
      <c r="X87" s="390"/>
      <c r="Y87" s="390"/>
      <c r="Z87" s="390"/>
      <c r="AA87" s="390"/>
      <c r="AB87" s="390"/>
      <c r="AC87" s="390"/>
      <c r="AD87" s="390"/>
      <c r="AE87" s="390"/>
      <c r="AF87" s="390"/>
      <c r="AG87" s="390"/>
      <c r="AH87" s="390"/>
      <c r="AI87" s="390"/>
      <c r="AJ87" s="390"/>
      <c r="AK87" s="390"/>
      <c r="AL87" s="390"/>
    </row>
    <row r="88" spans="1:38">
      <c r="A88" s="390"/>
      <c r="B88" s="390"/>
      <c r="C88" s="390"/>
      <c r="D88" s="390"/>
      <c r="E88" s="390"/>
      <c r="F88" s="390"/>
      <c r="G88" s="390"/>
      <c r="H88" s="390"/>
      <c r="I88" s="390"/>
      <c r="J88" s="390"/>
      <c r="K88" s="390"/>
      <c r="L88" s="390"/>
      <c r="M88" s="395"/>
      <c r="N88" s="390"/>
      <c r="O88" s="390"/>
      <c r="P88" s="390"/>
      <c r="Q88" s="390"/>
      <c r="R88" s="390"/>
      <c r="S88" s="390"/>
      <c r="T88" s="390"/>
      <c r="U88" s="390"/>
      <c r="V88" s="390"/>
      <c r="W88" s="390"/>
      <c r="X88" s="390"/>
      <c r="Y88" s="390"/>
      <c r="Z88" s="390"/>
      <c r="AA88" s="390"/>
      <c r="AB88" s="390"/>
      <c r="AC88" s="390"/>
      <c r="AD88" s="390"/>
      <c r="AE88" s="390"/>
      <c r="AF88" s="390"/>
      <c r="AG88" s="390"/>
      <c r="AH88" s="390"/>
      <c r="AI88" s="390"/>
      <c r="AJ88" s="390"/>
      <c r="AK88" s="390"/>
      <c r="AL88" s="390"/>
    </row>
    <row r="89" spans="1:38">
      <c r="A89" s="390"/>
      <c r="B89" s="390"/>
      <c r="C89" s="390"/>
      <c r="D89" s="390"/>
      <c r="E89" s="390"/>
      <c r="F89" s="390"/>
      <c r="G89" s="390"/>
      <c r="H89" s="390"/>
      <c r="I89" s="390"/>
      <c r="J89" s="390"/>
      <c r="K89" s="390"/>
      <c r="L89" s="390"/>
      <c r="M89" s="395"/>
      <c r="N89" s="390"/>
      <c r="O89" s="390"/>
      <c r="P89" s="390"/>
      <c r="Q89" s="390"/>
      <c r="R89" s="390"/>
      <c r="S89" s="390"/>
      <c r="T89" s="390"/>
      <c r="U89" s="390"/>
      <c r="V89" s="390"/>
      <c r="W89" s="390"/>
      <c r="X89" s="390"/>
      <c r="Y89" s="390"/>
      <c r="Z89" s="390"/>
      <c r="AA89" s="390"/>
      <c r="AB89" s="390"/>
      <c r="AC89" s="390"/>
      <c r="AD89" s="390"/>
      <c r="AE89" s="390"/>
      <c r="AF89" s="390"/>
      <c r="AG89" s="390"/>
      <c r="AH89" s="390"/>
      <c r="AI89" s="390"/>
      <c r="AJ89" s="390"/>
      <c r="AK89" s="390"/>
      <c r="AL89" s="390"/>
    </row>
    <row r="90" spans="1:38">
      <c r="A90" s="390"/>
      <c r="B90" s="390"/>
      <c r="C90" s="390"/>
      <c r="D90" s="390"/>
      <c r="E90" s="390"/>
      <c r="F90" s="390"/>
      <c r="G90" s="390"/>
      <c r="H90" s="390"/>
      <c r="I90" s="390"/>
      <c r="J90" s="390"/>
      <c r="K90" s="390"/>
      <c r="L90" s="390"/>
      <c r="M90" s="395"/>
      <c r="N90" s="390"/>
      <c r="O90" s="390"/>
      <c r="P90" s="390"/>
      <c r="Q90" s="390"/>
      <c r="R90" s="390"/>
      <c r="S90" s="390"/>
      <c r="T90" s="390"/>
      <c r="U90" s="390"/>
      <c r="V90" s="390"/>
      <c r="W90" s="390"/>
      <c r="X90" s="390"/>
      <c r="Y90" s="390"/>
      <c r="Z90" s="390"/>
      <c r="AA90" s="390"/>
      <c r="AB90" s="390"/>
      <c r="AC90" s="390"/>
      <c r="AD90" s="390"/>
      <c r="AE90" s="390"/>
      <c r="AF90" s="390"/>
      <c r="AG90" s="390"/>
      <c r="AH90" s="390"/>
      <c r="AI90" s="390"/>
      <c r="AJ90" s="390"/>
      <c r="AK90" s="390"/>
      <c r="AL90" s="390"/>
    </row>
    <row r="91" spans="1:38">
      <c r="A91" s="390"/>
      <c r="B91" s="390"/>
      <c r="C91" s="390"/>
      <c r="D91" s="390"/>
      <c r="E91" s="390"/>
      <c r="F91" s="390"/>
      <c r="G91" s="390"/>
      <c r="H91" s="390"/>
      <c r="I91" s="390"/>
      <c r="J91" s="390"/>
      <c r="K91" s="390"/>
      <c r="L91" s="390"/>
      <c r="M91" s="395"/>
      <c r="N91" s="390"/>
      <c r="O91" s="390"/>
      <c r="P91" s="390"/>
      <c r="Q91" s="390"/>
      <c r="R91" s="390"/>
      <c r="S91" s="390"/>
      <c r="T91" s="390"/>
      <c r="U91" s="390"/>
      <c r="V91" s="390"/>
      <c r="W91" s="390"/>
      <c r="X91" s="390"/>
      <c r="Y91" s="390"/>
      <c r="Z91" s="390"/>
      <c r="AA91" s="390"/>
      <c r="AB91" s="390"/>
      <c r="AC91" s="390"/>
      <c r="AD91" s="390"/>
      <c r="AE91" s="390"/>
      <c r="AF91" s="390"/>
      <c r="AG91" s="390"/>
      <c r="AH91" s="390"/>
      <c r="AI91" s="390"/>
      <c r="AJ91" s="390"/>
      <c r="AK91" s="390"/>
      <c r="AL91" s="390"/>
    </row>
    <row r="92" spans="1:38">
      <c r="A92" s="390"/>
      <c r="B92" s="390"/>
      <c r="C92" s="390"/>
      <c r="D92" s="390"/>
      <c r="E92" s="390"/>
      <c r="F92" s="390"/>
      <c r="G92" s="390"/>
      <c r="H92" s="390"/>
      <c r="I92" s="390"/>
      <c r="J92" s="390"/>
      <c r="K92" s="390"/>
      <c r="L92" s="390"/>
      <c r="M92" s="395"/>
      <c r="N92" s="390"/>
      <c r="O92" s="390"/>
      <c r="P92" s="390"/>
      <c r="Q92" s="390"/>
      <c r="R92" s="390"/>
      <c r="S92" s="390"/>
      <c r="T92" s="390"/>
      <c r="U92" s="390"/>
      <c r="V92" s="390"/>
      <c r="W92" s="390"/>
      <c r="X92" s="390"/>
      <c r="Y92" s="390"/>
      <c r="Z92" s="390"/>
      <c r="AA92" s="390"/>
      <c r="AB92" s="390"/>
      <c r="AC92" s="390"/>
      <c r="AD92" s="390"/>
      <c r="AE92" s="390"/>
      <c r="AF92" s="390"/>
      <c r="AG92" s="390"/>
      <c r="AH92" s="390"/>
      <c r="AI92" s="390"/>
      <c r="AJ92" s="390"/>
      <c r="AK92" s="390"/>
      <c r="AL92" s="390"/>
    </row>
    <row r="93" spans="1:38">
      <c r="A93" s="390"/>
      <c r="B93" s="390"/>
      <c r="C93" s="390"/>
      <c r="D93" s="390"/>
      <c r="E93" s="390"/>
      <c r="F93" s="390"/>
      <c r="G93" s="390"/>
      <c r="H93" s="390"/>
      <c r="I93" s="390"/>
      <c r="J93" s="390"/>
      <c r="K93" s="390"/>
      <c r="L93" s="390"/>
      <c r="M93" s="395"/>
      <c r="N93" s="390"/>
      <c r="O93" s="390"/>
      <c r="P93" s="390"/>
      <c r="Q93" s="390"/>
      <c r="R93" s="390"/>
      <c r="S93" s="390"/>
      <c r="T93" s="390"/>
      <c r="U93" s="390"/>
      <c r="V93" s="390"/>
      <c r="W93" s="390"/>
      <c r="X93" s="390"/>
      <c r="Y93" s="390"/>
      <c r="Z93" s="390"/>
      <c r="AA93" s="390"/>
      <c r="AB93" s="390"/>
      <c r="AC93" s="390"/>
      <c r="AD93" s="390"/>
      <c r="AE93" s="390"/>
      <c r="AF93" s="390"/>
      <c r="AG93" s="390"/>
      <c r="AH93" s="390"/>
      <c r="AI93" s="390"/>
      <c r="AJ93" s="390"/>
      <c r="AK93" s="390"/>
      <c r="AL93" s="390"/>
    </row>
    <row r="94" spans="1:38">
      <c r="A94" s="390"/>
      <c r="B94" s="390"/>
      <c r="C94" s="390"/>
      <c r="D94" s="390"/>
      <c r="E94" s="390"/>
      <c r="F94" s="390"/>
      <c r="G94" s="390"/>
      <c r="H94" s="390"/>
      <c r="I94" s="390"/>
      <c r="J94" s="390"/>
      <c r="K94" s="390"/>
      <c r="L94" s="390"/>
      <c r="M94" s="395"/>
      <c r="N94" s="390"/>
      <c r="O94" s="390"/>
      <c r="P94" s="390"/>
      <c r="Q94" s="390"/>
      <c r="R94" s="390"/>
      <c r="S94" s="390"/>
      <c r="T94" s="390"/>
      <c r="U94" s="390"/>
      <c r="V94" s="390"/>
      <c r="W94" s="390"/>
      <c r="X94" s="390"/>
      <c r="Y94" s="390"/>
      <c r="Z94" s="390"/>
      <c r="AA94" s="390"/>
      <c r="AB94" s="390"/>
      <c r="AC94" s="390"/>
      <c r="AD94" s="390"/>
      <c r="AE94" s="390"/>
      <c r="AF94" s="390"/>
      <c r="AG94" s="390"/>
      <c r="AH94" s="390"/>
      <c r="AI94" s="390"/>
      <c r="AJ94" s="390"/>
      <c r="AK94" s="390"/>
      <c r="AL94" s="390"/>
    </row>
    <row r="95" spans="1:38">
      <c r="A95" s="390"/>
      <c r="B95" s="390"/>
      <c r="C95" s="390"/>
      <c r="D95" s="390"/>
      <c r="E95" s="390"/>
      <c r="F95" s="390"/>
      <c r="G95" s="390"/>
      <c r="H95" s="390"/>
      <c r="I95" s="390"/>
      <c r="J95" s="390"/>
      <c r="K95" s="390"/>
      <c r="L95" s="390"/>
      <c r="M95" s="395"/>
      <c r="N95" s="390"/>
      <c r="O95" s="390"/>
      <c r="P95" s="390"/>
      <c r="Q95" s="390"/>
      <c r="R95" s="390"/>
      <c r="S95" s="390"/>
      <c r="T95" s="390"/>
      <c r="U95" s="390"/>
      <c r="V95" s="390"/>
      <c r="W95" s="390"/>
      <c r="X95" s="390"/>
      <c r="Y95" s="390"/>
      <c r="Z95" s="390"/>
      <c r="AA95" s="390"/>
      <c r="AB95" s="390"/>
      <c r="AC95" s="390"/>
      <c r="AD95" s="390"/>
      <c r="AE95" s="390"/>
      <c r="AF95" s="390"/>
      <c r="AG95" s="390"/>
      <c r="AH95" s="390"/>
      <c r="AI95" s="390"/>
      <c r="AJ95" s="390"/>
      <c r="AK95" s="390"/>
      <c r="AL95" s="390"/>
    </row>
    <row r="96" spans="1:38">
      <c r="A96" s="390"/>
      <c r="B96" s="390"/>
      <c r="C96" s="390"/>
      <c r="D96" s="390"/>
      <c r="E96" s="390"/>
      <c r="F96" s="390"/>
      <c r="G96" s="390"/>
      <c r="H96" s="390"/>
      <c r="I96" s="390"/>
      <c r="J96" s="390"/>
      <c r="K96" s="390"/>
      <c r="L96" s="390"/>
      <c r="M96" s="395"/>
      <c r="N96" s="390"/>
      <c r="O96" s="390"/>
      <c r="P96" s="390"/>
      <c r="Q96" s="390"/>
      <c r="R96" s="390"/>
      <c r="S96" s="390"/>
      <c r="T96" s="390"/>
      <c r="U96" s="390"/>
      <c r="V96" s="390"/>
      <c r="W96" s="390"/>
      <c r="X96" s="390"/>
      <c r="Y96" s="390"/>
      <c r="Z96" s="390"/>
      <c r="AA96" s="390"/>
      <c r="AB96" s="390"/>
      <c r="AC96" s="390"/>
      <c r="AD96" s="390"/>
      <c r="AE96" s="390"/>
      <c r="AF96" s="390"/>
      <c r="AG96" s="390"/>
      <c r="AH96" s="390"/>
      <c r="AI96" s="390"/>
      <c r="AJ96" s="390"/>
      <c r="AK96" s="390"/>
      <c r="AL96" s="390"/>
    </row>
    <row r="97" spans="1:38">
      <c r="A97" s="390"/>
      <c r="B97" s="390"/>
      <c r="C97" s="390"/>
      <c r="D97" s="390"/>
      <c r="E97" s="390"/>
      <c r="F97" s="390"/>
      <c r="G97" s="390"/>
      <c r="H97" s="390"/>
      <c r="I97" s="390"/>
      <c r="J97" s="390"/>
      <c r="K97" s="390"/>
      <c r="L97" s="390"/>
      <c r="M97" s="395"/>
      <c r="N97" s="390"/>
      <c r="O97" s="390"/>
      <c r="P97" s="390"/>
      <c r="Q97" s="390"/>
      <c r="R97" s="390"/>
      <c r="S97" s="390"/>
      <c r="T97" s="390"/>
      <c r="U97" s="390"/>
      <c r="V97" s="390"/>
      <c r="W97" s="390"/>
      <c r="X97" s="390"/>
      <c r="Y97" s="390"/>
      <c r="Z97" s="390"/>
      <c r="AA97" s="390"/>
      <c r="AB97" s="390"/>
      <c r="AC97" s="390"/>
      <c r="AD97" s="390"/>
      <c r="AE97" s="390"/>
      <c r="AF97" s="390"/>
      <c r="AG97" s="390"/>
      <c r="AH97" s="390"/>
      <c r="AI97" s="390"/>
      <c r="AJ97" s="390"/>
      <c r="AK97" s="390"/>
      <c r="AL97" s="390"/>
    </row>
    <row r="98" spans="1:38">
      <c r="A98" s="390"/>
      <c r="B98" s="390"/>
      <c r="C98" s="390"/>
      <c r="D98" s="390"/>
      <c r="E98" s="390"/>
      <c r="F98" s="390"/>
      <c r="G98" s="390"/>
      <c r="H98" s="390"/>
      <c r="I98" s="390"/>
      <c r="J98" s="390"/>
      <c r="K98" s="390"/>
      <c r="L98" s="390"/>
      <c r="M98" s="395"/>
      <c r="N98" s="390"/>
      <c r="O98" s="390"/>
      <c r="P98" s="390"/>
      <c r="Q98" s="390"/>
      <c r="R98" s="390"/>
      <c r="S98" s="390"/>
      <c r="T98" s="390"/>
      <c r="U98" s="390"/>
      <c r="V98" s="390"/>
      <c r="W98" s="390"/>
      <c r="X98" s="390"/>
      <c r="Y98" s="390"/>
      <c r="Z98" s="390"/>
      <c r="AA98" s="390"/>
      <c r="AB98" s="390"/>
      <c r="AC98" s="390"/>
      <c r="AD98" s="390"/>
      <c r="AE98" s="390"/>
      <c r="AF98" s="390"/>
      <c r="AG98" s="390"/>
      <c r="AH98" s="390"/>
      <c r="AI98" s="390"/>
      <c r="AJ98" s="390"/>
      <c r="AK98" s="390"/>
      <c r="AL98" s="390"/>
    </row>
    <row r="99" spans="1:38">
      <c r="A99" s="390"/>
      <c r="B99" s="390"/>
      <c r="C99" s="390"/>
      <c r="D99" s="390"/>
      <c r="E99" s="390"/>
      <c r="F99" s="390"/>
      <c r="G99" s="390"/>
      <c r="H99" s="390"/>
      <c r="I99" s="390"/>
      <c r="J99" s="390"/>
      <c r="K99" s="390"/>
      <c r="L99" s="390"/>
      <c r="M99" s="395"/>
      <c r="N99" s="390"/>
      <c r="O99" s="390"/>
      <c r="P99" s="390"/>
      <c r="Q99" s="390"/>
      <c r="R99" s="390"/>
      <c r="S99" s="390"/>
      <c r="T99" s="390"/>
      <c r="U99" s="390"/>
      <c r="V99" s="390"/>
      <c r="W99" s="390"/>
      <c r="X99" s="390"/>
      <c r="Y99" s="390"/>
      <c r="Z99" s="390"/>
      <c r="AA99" s="390"/>
      <c r="AB99" s="390"/>
      <c r="AC99" s="390"/>
      <c r="AD99" s="390"/>
      <c r="AE99" s="390"/>
      <c r="AF99" s="390"/>
      <c r="AG99" s="390"/>
      <c r="AH99" s="390"/>
      <c r="AI99" s="390"/>
      <c r="AJ99" s="390"/>
      <c r="AK99" s="390"/>
      <c r="AL99" s="390"/>
    </row>
    <row r="100" spans="1:38">
      <c r="A100" s="390"/>
      <c r="B100" s="390"/>
      <c r="C100" s="390"/>
      <c r="D100" s="390"/>
      <c r="E100" s="390"/>
      <c r="F100" s="390"/>
      <c r="G100" s="390"/>
      <c r="H100" s="390"/>
      <c r="I100" s="390"/>
      <c r="J100" s="390"/>
      <c r="K100" s="390"/>
      <c r="L100" s="390"/>
      <c r="M100" s="395"/>
      <c r="N100" s="390"/>
      <c r="O100" s="390"/>
      <c r="P100" s="390"/>
      <c r="Q100" s="390"/>
      <c r="R100" s="390"/>
      <c r="S100" s="390"/>
      <c r="T100" s="390"/>
      <c r="U100" s="390"/>
      <c r="V100" s="390"/>
      <c r="W100" s="390"/>
      <c r="X100" s="390"/>
      <c r="Y100" s="390"/>
      <c r="Z100" s="390"/>
      <c r="AA100" s="390"/>
      <c r="AB100" s="390"/>
      <c r="AC100" s="390"/>
      <c r="AD100" s="390"/>
      <c r="AE100" s="390"/>
      <c r="AF100" s="390"/>
      <c r="AG100" s="390"/>
      <c r="AH100" s="390"/>
      <c r="AI100" s="390"/>
      <c r="AJ100" s="390"/>
      <c r="AK100" s="390"/>
      <c r="AL100" s="390"/>
    </row>
    <row r="101" spans="1:38">
      <c r="A101" s="390"/>
      <c r="B101" s="390"/>
      <c r="C101" s="390"/>
      <c r="D101" s="390"/>
      <c r="E101" s="390"/>
      <c r="F101" s="390"/>
      <c r="G101" s="390"/>
      <c r="H101" s="390"/>
      <c r="I101" s="390"/>
      <c r="J101" s="390"/>
      <c r="K101" s="390"/>
      <c r="L101" s="390"/>
      <c r="M101" s="395"/>
      <c r="N101" s="390"/>
      <c r="O101" s="390"/>
      <c r="P101" s="390"/>
      <c r="Q101" s="390"/>
      <c r="R101" s="390"/>
      <c r="S101" s="390"/>
      <c r="T101" s="390"/>
      <c r="U101" s="390"/>
      <c r="V101" s="390"/>
      <c r="W101" s="390"/>
      <c r="X101" s="390"/>
      <c r="Y101" s="390"/>
      <c r="Z101" s="390"/>
      <c r="AA101" s="390"/>
      <c r="AB101" s="390"/>
      <c r="AC101" s="390"/>
      <c r="AD101" s="390"/>
      <c r="AE101" s="390"/>
      <c r="AF101" s="390"/>
      <c r="AG101" s="390"/>
      <c r="AH101" s="390"/>
      <c r="AI101" s="390"/>
      <c r="AJ101" s="390"/>
      <c r="AK101" s="390"/>
      <c r="AL101" s="390"/>
    </row>
    <row r="102" spans="1:38">
      <c r="A102" s="390"/>
      <c r="B102" s="390"/>
      <c r="C102" s="390"/>
      <c r="D102" s="390"/>
      <c r="E102" s="390"/>
      <c r="F102" s="390"/>
      <c r="G102" s="390"/>
      <c r="H102" s="390"/>
      <c r="I102" s="390"/>
      <c r="J102" s="390"/>
      <c r="K102" s="390"/>
      <c r="L102" s="390"/>
      <c r="M102" s="395"/>
      <c r="N102" s="390"/>
      <c r="O102" s="390"/>
      <c r="P102" s="390"/>
      <c r="Q102" s="390"/>
      <c r="R102" s="390"/>
      <c r="S102" s="390"/>
      <c r="T102" s="390"/>
      <c r="U102" s="390"/>
      <c r="V102" s="390"/>
      <c r="W102" s="390"/>
      <c r="X102" s="390"/>
      <c r="Y102" s="390"/>
      <c r="Z102" s="390"/>
      <c r="AA102" s="390"/>
      <c r="AB102" s="390"/>
      <c r="AC102" s="390"/>
      <c r="AD102" s="390"/>
      <c r="AE102" s="390"/>
      <c r="AF102" s="390"/>
      <c r="AG102" s="390"/>
      <c r="AH102" s="390"/>
      <c r="AI102" s="390"/>
      <c r="AJ102" s="390"/>
      <c r="AK102" s="390"/>
      <c r="AL102" s="390"/>
    </row>
    <row r="103" spans="1:38">
      <c r="A103" s="390"/>
      <c r="B103" s="390"/>
      <c r="C103" s="390"/>
      <c r="D103" s="390"/>
      <c r="E103" s="390"/>
      <c r="F103" s="390"/>
      <c r="G103" s="390"/>
      <c r="H103" s="390"/>
      <c r="I103" s="390"/>
      <c r="J103" s="390"/>
      <c r="K103" s="390"/>
      <c r="L103" s="390"/>
      <c r="M103" s="395"/>
      <c r="N103" s="390"/>
      <c r="O103" s="390"/>
      <c r="P103" s="390"/>
      <c r="Q103" s="390"/>
      <c r="R103" s="390"/>
      <c r="S103" s="390"/>
      <c r="T103" s="390"/>
      <c r="U103" s="390"/>
      <c r="V103" s="390"/>
      <c r="W103" s="390"/>
      <c r="X103" s="390"/>
      <c r="Y103" s="390"/>
      <c r="Z103" s="390"/>
      <c r="AA103" s="390"/>
      <c r="AB103" s="390"/>
      <c r="AC103" s="390"/>
      <c r="AD103" s="390"/>
      <c r="AE103" s="390"/>
      <c r="AF103" s="390"/>
      <c r="AG103" s="390"/>
      <c r="AH103" s="390"/>
      <c r="AI103" s="390"/>
      <c r="AJ103" s="390"/>
      <c r="AK103" s="390"/>
      <c r="AL103" s="390"/>
    </row>
    <row r="104" spans="1:38">
      <c r="A104" s="390"/>
      <c r="B104" s="390"/>
      <c r="C104" s="390"/>
      <c r="D104" s="390"/>
      <c r="E104" s="390"/>
      <c r="F104" s="390"/>
      <c r="G104" s="390"/>
      <c r="H104" s="390"/>
      <c r="I104" s="390"/>
      <c r="J104" s="390"/>
      <c r="K104" s="390"/>
      <c r="L104" s="390"/>
      <c r="M104" s="395"/>
      <c r="N104" s="390"/>
      <c r="O104" s="390"/>
      <c r="P104" s="390"/>
      <c r="Q104" s="390"/>
      <c r="R104" s="390"/>
      <c r="S104" s="390"/>
      <c r="T104" s="390"/>
      <c r="U104" s="390"/>
      <c r="V104" s="390"/>
      <c r="W104" s="390"/>
      <c r="X104" s="390"/>
      <c r="Y104" s="390"/>
      <c r="Z104" s="390"/>
      <c r="AA104" s="390"/>
      <c r="AB104" s="390"/>
      <c r="AC104" s="390"/>
      <c r="AD104" s="390"/>
      <c r="AE104" s="390"/>
      <c r="AF104" s="390"/>
      <c r="AG104" s="390"/>
      <c r="AH104" s="390"/>
      <c r="AI104" s="390"/>
      <c r="AJ104" s="390"/>
      <c r="AK104" s="390"/>
      <c r="AL104" s="390"/>
    </row>
    <row r="105" spans="1:38">
      <c r="A105" s="390"/>
      <c r="B105" s="390"/>
      <c r="C105" s="390"/>
      <c r="D105" s="390"/>
      <c r="E105" s="390"/>
      <c r="F105" s="390"/>
      <c r="G105" s="390"/>
      <c r="H105" s="390"/>
      <c r="I105" s="390"/>
      <c r="J105" s="390"/>
      <c r="K105" s="390"/>
      <c r="L105" s="390"/>
      <c r="M105" s="395"/>
      <c r="N105" s="390"/>
      <c r="O105" s="390"/>
      <c r="P105" s="390"/>
      <c r="Q105" s="390"/>
      <c r="R105" s="390"/>
      <c r="S105" s="390"/>
      <c r="T105" s="390"/>
      <c r="U105" s="390"/>
      <c r="V105" s="390"/>
      <c r="W105" s="390"/>
      <c r="X105" s="390"/>
      <c r="Y105" s="390"/>
      <c r="Z105" s="390"/>
      <c r="AA105" s="390"/>
      <c r="AB105" s="390"/>
      <c r="AC105" s="390"/>
      <c r="AD105" s="390"/>
      <c r="AE105" s="390"/>
      <c r="AF105" s="390"/>
      <c r="AG105" s="390"/>
      <c r="AH105" s="390"/>
      <c r="AI105" s="390"/>
      <c r="AJ105" s="390"/>
      <c r="AK105" s="390"/>
      <c r="AL105" s="390"/>
    </row>
    <row r="106" spans="1:38">
      <c r="A106" s="390"/>
      <c r="B106" s="390"/>
      <c r="C106" s="390"/>
      <c r="D106" s="390"/>
      <c r="E106" s="390"/>
      <c r="F106" s="390"/>
      <c r="G106" s="390"/>
      <c r="H106" s="390"/>
      <c r="I106" s="390"/>
      <c r="J106" s="390"/>
      <c r="K106" s="390"/>
      <c r="L106" s="390"/>
      <c r="M106" s="395"/>
      <c r="N106" s="390"/>
      <c r="O106" s="390"/>
      <c r="P106" s="390"/>
      <c r="Q106" s="390"/>
      <c r="R106" s="390"/>
      <c r="S106" s="390"/>
      <c r="T106" s="390"/>
      <c r="U106" s="390"/>
      <c r="V106" s="390"/>
      <c r="W106" s="390"/>
      <c r="X106" s="390"/>
      <c r="Y106" s="390"/>
      <c r="Z106" s="390"/>
      <c r="AA106" s="390"/>
      <c r="AB106" s="390"/>
      <c r="AC106" s="390"/>
      <c r="AD106" s="390"/>
      <c r="AE106" s="390"/>
      <c r="AF106" s="390"/>
      <c r="AG106" s="390"/>
      <c r="AH106" s="390"/>
      <c r="AI106" s="390"/>
      <c r="AJ106" s="390"/>
      <c r="AK106" s="390"/>
      <c r="AL106" s="390"/>
    </row>
    <row r="107" spans="1:38">
      <c r="A107" s="390"/>
      <c r="B107" s="390"/>
      <c r="C107" s="390"/>
      <c r="D107" s="390"/>
      <c r="E107" s="390"/>
      <c r="F107" s="390"/>
      <c r="G107" s="390"/>
      <c r="H107" s="390"/>
      <c r="I107" s="390"/>
      <c r="J107" s="390"/>
      <c r="K107" s="390"/>
      <c r="L107" s="390"/>
      <c r="M107" s="395"/>
      <c r="N107" s="390"/>
      <c r="O107" s="390"/>
      <c r="P107" s="390"/>
      <c r="Q107" s="390"/>
      <c r="R107" s="390"/>
      <c r="S107" s="390"/>
      <c r="T107" s="390"/>
      <c r="U107" s="390"/>
      <c r="V107" s="390"/>
      <c r="W107" s="390"/>
      <c r="X107" s="390"/>
      <c r="Y107" s="390"/>
      <c r="Z107" s="390"/>
      <c r="AA107" s="390"/>
      <c r="AB107" s="390"/>
      <c r="AC107" s="390"/>
      <c r="AD107" s="390"/>
      <c r="AE107" s="390"/>
      <c r="AF107" s="390"/>
      <c r="AG107" s="390"/>
      <c r="AH107" s="390"/>
      <c r="AI107" s="390"/>
      <c r="AJ107" s="390"/>
      <c r="AK107" s="390"/>
      <c r="AL107" s="390"/>
    </row>
    <row r="108" spans="1:38">
      <c r="A108" s="390"/>
      <c r="B108" s="390"/>
      <c r="C108" s="390"/>
      <c r="D108" s="390"/>
      <c r="E108" s="390"/>
      <c r="F108" s="390"/>
      <c r="G108" s="390"/>
      <c r="H108" s="390"/>
      <c r="I108" s="390"/>
      <c r="J108" s="390"/>
      <c r="K108" s="390"/>
      <c r="L108" s="390"/>
      <c r="M108" s="395"/>
      <c r="N108" s="390"/>
      <c r="O108" s="390"/>
      <c r="P108" s="390"/>
      <c r="Q108" s="390"/>
      <c r="R108" s="390"/>
      <c r="S108" s="390"/>
      <c r="T108" s="390"/>
      <c r="U108" s="390"/>
      <c r="V108" s="390"/>
      <c r="W108" s="390"/>
      <c r="X108" s="390"/>
      <c r="Y108" s="390"/>
      <c r="Z108" s="390"/>
      <c r="AA108" s="390"/>
      <c r="AB108" s="390"/>
      <c r="AC108" s="390"/>
      <c r="AD108" s="390"/>
      <c r="AE108" s="390"/>
      <c r="AF108" s="390"/>
      <c r="AG108" s="390"/>
      <c r="AH108" s="390"/>
      <c r="AI108" s="390"/>
      <c r="AJ108" s="390"/>
      <c r="AK108" s="390"/>
      <c r="AL108" s="390"/>
    </row>
    <row r="109" spans="1:38">
      <c r="A109" s="390"/>
      <c r="B109" s="390"/>
      <c r="C109" s="390"/>
      <c r="D109" s="390"/>
      <c r="E109" s="390"/>
      <c r="F109" s="390"/>
      <c r="G109" s="390"/>
      <c r="H109" s="390"/>
      <c r="I109" s="390"/>
      <c r="J109" s="390"/>
      <c r="K109" s="390"/>
      <c r="L109" s="390"/>
      <c r="M109" s="395"/>
      <c r="N109" s="390"/>
      <c r="O109" s="390"/>
      <c r="P109" s="390"/>
      <c r="Q109" s="390"/>
      <c r="R109" s="390"/>
      <c r="S109" s="390"/>
      <c r="T109" s="390"/>
      <c r="U109" s="390"/>
      <c r="V109" s="390"/>
      <c r="W109" s="390"/>
      <c r="X109" s="390"/>
      <c r="Y109" s="390"/>
      <c r="Z109" s="390"/>
      <c r="AA109" s="390"/>
      <c r="AB109" s="390"/>
      <c r="AC109" s="390"/>
      <c r="AD109" s="390"/>
      <c r="AE109" s="390"/>
      <c r="AF109" s="390"/>
      <c r="AG109" s="390"/>
      <c r="AH109" s="390"/>
      <c r="AI109" s="390"/>
      <c r="AJ109" s="390"/>
      <c r="AK109" s="390"/>
      <c r="AL109" s="390"/>
    </row>
    <row r="110" spans="1:38">
      <c r="A110" s="390"/>
      <c r="B110" s="390"/>
      <c r="C110" s="390"/>
      <c r="D110" s="390"/>
      <c r="E110" s="390"/>
      <c r="F110" s="390"/>
      <c r="G110" s="390"/>
      <c r="H110" s="390"/>
      <c r="I110" s="390"/>
      <c r="J110" s="390"/>
      <c r="K110" s="390"/>
      <c r="L110" s="390"/>
      <c r="M110" s="395"/>
      <c r="N110" s="390"/>
      <c r="O110" s="390"/>
      <c r="P110" s="390"/>
      <c r="Q110" s="390"/>
      <c r="R110" s="390"/>
      <c r="S110" s="390"/>
      <c r="T110" s="390"/>
      <c r="U110" s="390"/>
      <c r="V110" s="390"/>
      <c r="W110" s="390"/>
      <c r="X110" s="390"/>
      <c r="Y110" s="390"/>
      <c r="Z110" s="390"/>
      <c r="AA110" s="390"/>
      <c r="AB110" s="390"/>
      <c r="AC110" s="390"/>
      <c r="AD110" s="390"/>
      <c r="AE110" s="390"/>
      <c r="AF110" s="390"/>
      <c r="AG110" s="390"/>
      <c r="AH110" s="390"/>
      <c r="AI110" s="390"/>
      <c r="AJ110" s="390"/>
      <c r="AK110" s="390"/>
      <c r="AL110" s="390"/>
    </row>
    <row r="111" spans="1:38">
      <c r="A111" s="390"/>
      <c r="B111" s="390"/>
      <c r="C111" s="390"/>
      <c r="D111" s="390"/>
      <c r="E111" s="390"/>
      <c r="F111" s="390"/>
      <c r="G111" s="390"/>
      <c r="H111" s="390"/>
      <c r="I111" s="390"/>
      <c r="J111" s="390"/>
      <c r="K111" s="390"/>
      <c r="L111" s="390"/>
      <c r="M111" s="395"/>
      <c r="N111" s="390"/>
      <c r="O111" s="390"/>
      <c r="P111" s="390"/>
      <c r="Q111" s="390"/>
      <c r="R111" s="390"/>
      <c r="S111" s="390"/>
      <c r="T111" s="390"/>
      <c r="U111" s="390"/>
      <c r="V111" s="390"/>
      <c r="W111" s="390"/>
      <c r="X111" s="390"/>
      <c r="Y111" s="390"/>
      <c r="Z111" s="390"/>
      <c r="AA111" s="390"/>
      <c r="AB111" s="390"/>
      <c r="AC111" s="390"/>
      <c r="AD111" s="390"/>
      <c r="AE111" s="390"/>
      <c r="AF111" s="390"/>
      <c r="AG111" s="390"/>
      <c r="AH111" s="390"/>
      <c r="AI111" s="390"/>
      <c r="AJ111" s="390"/>
      <c r="AK111" s="390"/>
      <c r="AL111" s="390"/>
    </row>
    <row r="112" spans="1:38">
      <c r="A112" s="390"/>
      <c r="B112" s="390"/>
      <c r="C112" s="390"/>
      <c r="D112" s="390"/>
      <c r="E112" s="390"/>
      <c r="F112" s="390"/>
      <c r="G112" s="390"/>
      <c r="H112" s="390"/>
      <c r="I112" s="390"/>
      <c r="J112" s="390"/>
      <c r="K112" s="390"/>
      <c r="L112" s="390"/>
      <c r="M112" s="395"/>
      <c r="N112" s="390"/>
      <c r="O112" s="390"/>
      <c r="P112" s="390"/>
      <c r="Q112" s="390"/>
      <c r="R112" s="390"/>
      <c r="S112" s="390"/>
      <c r="T112" s="390"/>
      <c r="U112" s="390"/>
      <c r="V112" s="390"/>
      <c r="W112" s="390"/>
      <c r="X112" s="390"/>
      <c r="Y112" s="390"/>
      <c r="Z112" s="390"/>
      <c r="AA112" s="390"/>
      <c r="AB112" s="390"/>
      <c r="AC112" s="390"/>
      <c r="AD112" s="390"/>
      <c r="AE112" s="390"/>
      <c r="AF112" s="390"/>
      <c r="AG112" s="390"/>
      <c r="AH112" s="390"/>
      <c r="AI112" s="390"/>
      <c r="AJ112" s="390"/>
      <c r="AK112" s="390"/>
      <c r="AL112" s="390"/>
    </row>
    <row r="113" spans="1:38">
      <c r="A113" s="390"/>
      <c r="B113" s="390"/>
      <c r="C113" s="390"/>
      <c r="D113" s="390"/>
      <c r="E113" s="390"/>
      <c r="F113" s="390"/>
      <c r="G113" s="390"/>
      <c r="H113" s="390"/>
      <c r="I113" s="390"/>
      <c r="J113" s="390"/>
      <c r="K113" s="390"/>
      <c r="L113" s="390"/>
      <c r="M113" s="395"/>
      <c r="N113" s="390"/>
      <c r="O113" s="390"/>
      <c r="P113" s="390"/>
      <c r="Q113" s="390"/>
      <c r="R113" s="390"/>
      <c r="S113" s="390"/>
      <c r="T113" s="390"/>
      <c r="U113" s="390"/>
      <c r="V113" s="390"/>
      <c r="W113" s="390"/>
      <c r="X113" s="390"/>
      <c r="Y113" s="390"/>
      <c r="Z113" s="390"/>
      <c r="AA113" s="390"/>
      <c r="AB113" s="390"/>
      <c r="AC113" s="390"/>
      <c r="AD113" s="390"/>
      <c r="AE113" s="390"/>
      <c r="AF113" s="390"/>
      <c r="AG113" s="390"/>
      <c r="AH113" s="390"/>
      <c r="AI113" s="390"/>
      <c r="AJ113" s="390"/>
      <c r="AK113" s="390"/>
      <c r="AL113" s="390"/>
    </row>
    <row r="114" spans="1:38">
      <c r="A114" s="390"/>
      <c r="B114" s="390"/>
      <c r="C114" s="390"/>
      <c r="D114" s="390"/>
      <c r="E114" s="390"/>
      <c r="F114" s="390"/>
      <c r="G114" s="390"/>
      <c r="H114" s="390"/>
      <c r="I114" s="390"/>
      <c r="J114" s="390"/>
      <c r="K114" s="390"/>
      <c r="L114" s="390"/>
      <c r="M114" s="395"/>
      <c r="N114" s="390"/>
      <c r="O114" s="390"/>
      <c r="P114" s="390"/>
      <c r="Q114" s="390"/>
      <c r="R114" s="390"/>
      <c r="S114" s="390"/>
      <c r="T114" s="390"/>
      <c r="U114" s="390"/>
      <c r="V114" s="390"/>
      <c r="W114" s="390"/>
      <c r="X114" s="390"/>
      <c r="Y114" s="390"/>
      <c r="Z114" s="390"/>
      <c r="AA114" s="390"/>
      <c r="AB114" s="390"/>
      <c r="AC114" s="390"/>
      <c r="AD114" s="390"/>
      <c r="AE114" s="390"/>
      <c r="AF114" s="390"/>
      <c r="AG114" s="390"/>
      <c r="AH114" s="390"/>
      <c r="AI114" s="390"/>
      <c r="AJ114" s="390"/>
      <c r="AK114" s="390"/>
      <c r="AL114" s="390"/>
    </row>
    <row r="115" spans="1:38">
      <c r="A115" s="390"/>
      <c r="B115" s="390"/>
      <c r="C115" s="390"/>
      <c r="D115" s="390"/>
      <c r="E115" s="390"/>
      <c r="F115" s="390"/>
      <c r="G115" s="390"/>
      <c r="H115" s="390"/>
      <c r="I115" s="390"/>
      <c r="J115" s="390"/>
      <c r="K115" s="390"/>
      <c r="L115" s="390"/>
      <c r="M115" s="395"/>
      <c r="N115" s="390"/>
      <c r="O115" s="390"/>
      <c r="P115" s="390"/>
      <c r="Q115" s="390"/>
      <c r="R115" s="390"/>
      <c r="S115" s="390"/>
      <c r="T115" s="390"/>
      <c r="U115" s="390"/>
      <c r="V115" s="390"/>
      <c r="W115" s="390"/>
      <c r="X115" s="390"/>
      <c r="Y115" s="390"/>
      <c r="Z115" s="390"/>
      <c r="AA115" s="390"/>
      <c r="AB115" s="390"/>
      <c r="AC115" s="390"/>
      <c r="AD115" s="390"/>
      <c r="AE115" s="390"/>
      <c r="AF115" s="390"/>
      <c r="AG115" s="390"/>
      <c r="AH115" s="390"/>
      <c r="AI115" s="390"/>
      <c r="AJ115" s="390"/>
      <c r="AK115" s="390"/>
      <c r="AL115" s="390"/>
    </row>
    <row r="116" spans="1:38">
      <c r="A116" s="390"/>
      <c r="B116" s="390"/>
      <c r="C116" s="390"/>
      <c r="D116" s="390"/>
      <c r="E116" s="390"/>
      <c r="F116" s="390"/>
      <c r="G116" s="390"/>
      <c r="H116" s="390"/>
      <c r="I116" s="390"/>
      <c r="J116" s="390"/>
      <c r="K116" s="390"/>
      <c r="L116" s="390"/>
      <c r="M116" s="395"/>
      <c r="N116" s="390"/>
      <c r="O116" s="390"/>
      <c r="P116" s="390"/>
      <c r="Q116" s="390"/>
      <c r="R116" s="390"/>
      <c r="S116" s="390"/>
      <c r="T116" s="390"/>
      <c r="U116" s="390"/>
      <c r="V116" s="390"/>
      <c r="W116" s="390"/>
      <c r="X116" s="390"/>
      <c r="Y116" s="390"/>
      <c r="Z116" s="390"/>
      <c r="AA116" s="390"/>
      <c r="AB116" s="390"/>
      <c r="AC116" s="390"/>
      <c r="AD116" s="390"/>
      <c r="AE116" s="390"/>
      <c r="AF116" s="390"/>
      <c r="AG116" s="390"/>
      <c r="AH116" s="390"/>
      <c r="AI116" s="390"/>
      <c r="AJ116" s="390"/>
      <c r="AK116" s="390"/>
      <c r="AL116" s="390"/>
    </row>
    <row r="117" spans="1:38">
      <c r="A117" s="390"/>
      <c r="B117" s="390"/>
      <c r="C117" s="390"/>
      <c r="D117" s="390"/>
      <c r="E117" s="390"/>
      <c r="F117" s="390"/>
      <c r="G117" s="390"/>
      <c r="H117" s="390"/>
      <c r="I117" s="390"/>
      <c r="J117" s="390"/>
      <c r="K117" s="390"/>
      <c r="L117" s="390"/>
      <c r="M117" s="395"/>
      <c r="N117" s="390"/>
      <c r="O117" s="390"/>
      <c r="P117" s="390"/>
      <c r="Q117" s="390"/>
      <c r="R117" s="390"/>
      <c r="S117" s="390"/>
      <c r="T117" s="390"/>
      <c r="U117" s="390"/>
      <c r="V117" s="390"/>
      <c r="W117" s="390"/>
      <c r="X117" s="390"/>
      <c r="Y117" s="390"/>
      <c r="Z117" s="390"/>
      <c r="AA117" s="390"/>
      <c r="AB117" s="390"/>
      <c r="AC117" s="390"/>
      <c r="AD117" s="390"/>
      <c r="AE117" s="390"/>
      <c r="AF117" s="390"/>
      <c r="AG117" s="390"/>
      <c r="AH117" s="390"/>
      <c r="AI117" s="390"/>
      <c r="AJ117" s="390"/>
      <c r="AK117" s="390"/>
      <c r="AL117" s="390"/>
    </row>
    <row r="118" spans="1:38">
      <c r="A118" s="390"/>
      <c r="B118" s="390"/>
      <c r="C118" s="390"/>
      <c r="D118" s="390"/>
      <c r="E118" s="390"/>
      <c r="F118" s="390"/>
      <c r="G118" s="390"/>
      <c r="H118" s="390"/>
      <c r="I118" s="390"/>
      <c r="J118" s="390"/>
      <c r="K118" s="390"/>
      <c r="L118" s="390"/>
      <c r="M118" s="395"/>
      <c r="N118" s="390"/>
      <c r="O118" s="390"/>
      <c r="P118" s="390"/>
      <c r="Q118" s="390"/>
      <c r="R118" s="390"/>
      <c r="S118" s="390"/>
      <c r="T118" s="390"/>
      <c r="U118" s="390"/>
      <c r="V118" s="390"/>
      <c r="W118" s="390"/>
      <c r="X118" s="390"/>
      <c r="Y118" s="390"/>
      <c r="Z118" s="390"/>
      <c r="AA118" s="390"/>
      <c r="AB118" s="390"/>
      <c r="AC118" s="390"/>
      <c r="AD118" s="390"/>
      <c r="AE118" s="390"/>
      <c r="AF118" s="390"/>
      <c r="AG118" s="390"/>
      <c r="AH118" s="390"/>
      <c r="AI118" s="390"/>
      <c r="AJ118" s="390"/>
      <c r="AK118" s="390"/>
      <c r="AL118" s="390"/>
    </row>
    <row r="119" spans="1:38">
      <c r="A119" s="390"/>
      <c r="B119" s="390"/>
      <c r="C119" s="390"/>
      <c r="D119" s="390"/>
      <c r="E119" s="390"/>
      <c r="F119" s="390"/>
      <c r="G119" s="390"/>
      <c r="H119" s="390"/>
      <c r="I119" s="390"/>
      <c r="J119" s="390"/>
      <c r="K119" s="390"/>
      <c r="L119" s="390"/>
      <c r="M119" s="395"/>
      <c r="N119" s="390"/>
      <c r="O119" s="390"/>
      <c r="P119" s="390"/>
      <c r="Q119" s="390"/>
      <c r="R119" s="390"/>
      <c r="S119" s="390"/>
      <c r="T119" s="390"/>
      <c r="U119" s="390"/>
      <c r="V119" s="390"/>
      <c r="W119" s="390"/>
      <c r="X119" s="390"/>
      <c r="Y119" s="390"/>
      <c r="Z119" s="390"/>
      <c r="AA119" s="390"/>
      <c r="AB119" s="390"/>
      <c r="AC119" s="390"/>
      <c r="AD119" s="390"/>
      <c r="AE119" s="390"/>
      <c r="AF119" s="390"/>
      <c r="AG119" s="390"/>
      <c r="AH119" s="390"/>
      <c r="AI119" s="390"/>
      <c r="AJ119" s="390"/>
      <c r="AK119" s="390"/>
      <c r="AL119" s="390"/>
    </row>
    <row r="120" spans="1:38">
      <c r="A120" s="390"/>
      <c r="B120" s="390"/>
      <c r="C120" s="390"/>
      <c r="D120" s="390"/>
      <c r="E120" s="390"/>
      <c r="F120" s="390"/>
      <c r="G120" s="390"/>
      <c r="H120" s="390"/>
      <c r="I120" s="390"/>
      <c r="J120" s="390"/>
      <c r="K120" s="390"/>
      <c r="L120" s="390"/>
      <c r="M120" s="395"/>
      <c r="N120" s="390"/>
      <c r="O120" s="390"/>
      <c r="P120" s="390"/>
      <c r="Q120" s="390"/>
      <c r="R120" s="390"/>
      <c r="S120" s="390"/>
      <c r="T120" s="390"/>
      <c r="U120" s="390"/>
      <c r="V120" s="390"/>
      <c r="W120" s="390"/>
      <c r="X120" s="390"/>
      <c r="Y120" s="390"/>
      <c r="Z120" s="390"/>
      <c r="AA120" s="390"/>
      <c r="AB120" s="390"/>
      <c r="AC120" s="390"/>
      <c r="AD120" s="390"/>
      <c r="AE120" s="390"/>
      <c r="AF120" s="390"/>
      <c r="AG120" s="390"/>
      <c r="AH120" s="390"/>
      <c r="AI120" s="390"/>
      <c r="AJ120" s="390"/>
      <c r="AK120" s="390"/>
      <c r="AL120" s="390"/>
    </row>
    <row r="121" spans="1:38">
      <c r="A121" s="390"/>
      <c r="B121" s="390"/>
      <c r="C121" s="390"/>
      <c r="D121" s="390"/>
      <c r="E121" s="390"/>
      <c r="F121" s="390"/>
      <c r="G121" s="390"/>
      <c r="H121" s="390"/>
      <c r="I121" s="390"/>
      <c r="J121" s="390"/>
      <c r="K121" s="390"/>
      <c r="L121" s="390"/>
      <c r="M121" s="395"/>
      <c r="N121" s="390"/>
      <c r="O121" s="390"/>
      <c r="P121" s="390"/>
      <c r="Q121" s="390"/>
      <c r="R121" s="390"/>
      <c r="S121" s="390"/>
      <c r="T121" s="390"/>
      <c r="U121" s="390"/>
      <c r="V121" s="390"/>
      <c r="W121" s="390"/>
      <c r="X121" s="390"/>
      <c r="Y121" s="390"/>
      <c r="Z121" s="390"/>
      <c r="AA121" s="390"/>
      <c r="AB121" s="390"/>
      <c r="AC121" s="390"/>
      <c r="AD121" s="390"/>
      <c r="AE121" s="390"/>
      <c r="AF121" s="390"/>
      <c r="AG121" s="390"/>
      <c r="AH121" s="390"/>
      <c r="AI121" s="390"/>
      <c r="AJ121" s="390"/>
      <c r="AK121" s="390"/>
      <c r="AL121" s="390"/>
    </row>
    <row r="122" spans="1:38">
      <c r="A122" s="390"/>
      <c r="B122" s="390"/>
      <c r="C122" s="390"/>
      <c r="D122" s="390"/>
      <c r="E122" s="390"/>
      <c r="F122" s="390"/>
      <c r="G122" s="390"/>
      <c r="H122" s="390"/>
      <c r="I122" s="390"/>
      <c r="J122" s="390"/>
      <c r="K122" s="390"/>
      <c r="L122" s="390"/>
      <c r="M122" s="395"/>
      <c r="N122" s="390"/>
      <c r="O122" s="390"/>
      <c r="P122" s="390"/>
      <c r="Q122" s="390"/>
      <c r="R122" s="390"/>
      <c r="S122" s="390"/>
      <c r="T122" s="390"/>
      <c r="U122" s="390"/>
      <c r="V122" s="390"/>
      <c r="W122" s="390"/>
      <c r="X122" s="390"/>
      <c r="Y122" s="390"/>
      <c r="Z122" s="390"/>
      <c r="AA122" s="390"/>
      <c r="AB122" s="390"/>
      <c r="AC122" s="390"/>
      <c r="AD122" s="390"/>
      <c r="AE122" s="390"/>
      <c r="AF122" s="390"/>
      <c r="AG122" s="390"/>
      <c r="AH122" s="390"/>
      <c r="AI122" s="390"/>
      <c r="AJ122" s="390"/>
      <c r="AK122" s="390"/>
      <c r="AL122" s="390"/>
    </row>
    <row r="123" spans="1:38">
      <c r="A123" s="390"/>
      <c r="B123" s="390"/>
      <c r="C123" s="390"/>
      <c r="D123" s="390"/>
      <c r="E123" s="390"/>
      <c r="F123" s="390"/>
      <c r="G123" s="390"/>
      <c r="H123" s="390"/>
      <c r="I123" s="390"/>
      <c r="J123" s="390"/>
      <c r="K123" s="390"/>
      <c r="L123" s="390"/>
      <c r="M123" s="395"/>
      <c r="N123" s="390"/>
      <c r="O123" s="390"/>
      <c r="P123" s="390"/>
      <c r="Q123" s="390"/>
      <c r="R123" s="390"/>
      <c r="S123" s="390"/>
      <c r="T123" s="390"/>
      <c r="U123" s="390"/>
      <c r="V123" s="390"/>
      <c r="W123" s="390"/>
      <c r="X123" s="390"/>
      <c r="Y123" s="390"/>
      <c r="Z123" s="390"/>
      <c r="AA123" s="390"/>
      <c r="AB123" s="390"/>
      <c r="AC123" s="390"/>
      <c r="AD123" s="390"/>
      <c r="AE123" s="390"/>
      <c r="AF123" s="390"/>
      <c r="AG123" s="390"/>
      <c r="AH123" s="390"/>
      <c r="AI123" s="390"/>
      <c r="AJ123" s="390"/>
      <c r="AK123" s="390"/>
      <c r="AL123" s="390"/>
    </row>
    <row r="124" spans="1:38">
      <c r="A124" s="390"/>
      <c r="B124" s="390"/>
      <c r="C124" s="390"/>
      <c r="D124" s="390"/>
      <c r="E124" s="390"/>
      <c r="F124" s="390"/>
      <c r="G124" s="390"/>
      <c r="H124" s="390"/>
      <c r="I124" s="390"/>
      <c r="J124" s="390"/>
      <c r="K124" s="390"/>
      <c r="L124" s="390"/>
      <c r="M124" s="395"/>
      <c r="N124" s="390"/>
      <c r="O124" s="390"/>
      <c r="P124" s="390"/>
      <c r="Q124" s="390"/>
      <c r="R124" s="390"/>
      <c r="S124" s="390"/>
      <c r="T124" s="390"/>
      <c r="U124" s="390"/>
      <c r="V124" s="390"/>
      <c r="W124" s="390"/>
      <c r="X124" s="390"/>
      <c r="Y124" s="390"/>
      <c r="Z124" s="390"/>
      <c r="AA124" s="390"/>
      <c r="AB124" s="390"/>
      <c r="AC124" s="390"/>
      <c r="AD124" s="390"/>
      <c r="AE124" s="390"/>
      <c r="AF124" s="390"/>
      <c r="AG124" s="390"/>
      <c r="AH124" s="390"/>
      <c r="AI124" s="390"/>
      <c r="AJ124" s="390"/>
      <c r="AK124" s="390"/>
      <c r="AL124" s="390"/>
    </row>
    <row r="125" spans="1:38">
      <c r="A125" s="390"/>
      <c r="B125" s="390"/>
      <c r="C125" s="390"/>
      <c r="D125" s="390"/>
      <c r="E125" s="390"/>
      <c r="F125" s="390"/>
      <c r="G125" s="390"/>
      <c r="H125" s="390"/>
      <c r="I125" s="390"/>
      <c r="J125" s="390"/>
      <c r="K125" s="390"/>
      <c r="L125" s="390"/>
      <c r="M125" s="395"/>
      <c r="N125" s="390"/>
      <c r="O125" s="390"/>
      <c r="P125" s="390"/>
      <c r="Q125" s="390"/>
      <c r="R125" s="390"/>
      <c r="S125" s="390"/>
      <c r="T125" s="390"/>
      <c r="U125" s="390"/>
      <c r="V125" s="390"/>
      <c r="W125" s="390"/>
      <c r="X125" s="390"/>
      <c r="Y125" s="390"/>
      <c r="Z125" s="390"/>
      <c r="AA125" s="390"/>
      <c r="AB125" s="390"/>
      <c r="AC125" s="390"/>
      <c r="AD125" s="390"/>
      <c r="AE125" s="390"/>
      <c r="AF125" s="390"/>
      <c r="AG125" s="390"/>
      <c r="AH125" s="390"/>
      <c r="AI125" s="390"/>
      <c r="AJ125" s="390"/>
      <c r="AK125" s="390"/>
      <c r="AL125" s="390"/>
    </row>
    <row r="126" spans="1:38">
      <c r="A126" s="390"/>
      <c r="B126" s="390"/>
      <c r="C126" s="390"/>
      <c r="D126" s="390"/>
      <c r="E126" s="390"/>
      <c r="F126" s="390"/>
      <c r="G126" s="390"/>
      <c r="H126" s="390"/>
      <c r="I126" s="390"/>
      <c r="J126" s="390"/>
      <c r="K126" s="390"/>
      <c r="L126" s="390"/>
      <c r="M126" s="395"/>
      <c r="N126" s="390"/>
      <c r="O126" s="390"/>
      <c r="P126" s="390"/>
      <c r="Q126" s="390"/>
      <c r="R126" s="390"/>
      <c r="S126" s="390"/>
      <c r="T126" s="390"/>
      <c r="U126" s="390"/>
      <c r="V126" s="390"/>
      <c r="W126" s="390"/>
      <c r="X126" s="390"/>
      <c r="Y126" s="390"/>
      <c r="Z126" s="390"/>
      <c r="AA126" s="390"/>
      <c r="AB126" s="390"/>
      <c r="AC126" s="390"/>
      <c r="AD126" s="390"/>
      <c r="AE126" s="390"/>
      <c r="AF126" s="390"/>
      <c r="AG126" s="390"/>
      <c r="AH126" s="390"/>
      <c r="AI126" s="390"/>
      <c r="AJ126" s="390"/>
      <c r="AK126" s="390"/>
      <c r="AL126" s="390"/>
    </row>
    <row r="127" spans="1:38">
      <c r="A127" s="390"/>
      <c r="B127" s="390"/>
      <c r="C127" s="390"/>
      <c r="D127" s="390"/>
      <c r="E127" s="390"/>
      <c r="F127" s="390"/>
      <c r="G127" s="390"/>
      <c r="H127" s="390"/>
      <c r="I127" s="390"/>
      <c r="J127" s="390"/>
      <c r="K127" s="390"/>
      <c r="L127" s="390"/>
      <c r="M127" s="395"/>
      <c r="N127" s="390"/>
      <c r="O127" s="390"/>
      <c r="P127" s="390"/>
      <c r="Q127" s="390"/>
      <c r="R127" s="390"/>
      <c r="S127" s="390"/>
      <c r="T127" s="390"/>
      <c r="U127" s="390"/>
      <c r="V127" s="390"/>
      <c r="W127" s="390"/>
      <c r="X127" s="390"/>
      <c r="Y127" s="390"/>
      <c r="Z127" s="390"/>
      <c r="AA127" s="390"/>
      <c r="AB127" s="390"/>
      <c r="AC127" s="390"/>
      <c r="AD127" s="390"/>
      <c r="AE127" s="390"/>
      <c r="AF127" s="390"/>
      <c r="AG127" s="390"/>
      <c r="AH127" s="390"/>
      <c r="AI127" s="390"/>
      <c r="AJ127" s="390"/>
      <c r="AK127" s="390"/>
      <c r="AL127" s="390"/>
    </row>
    <row r="128" spans="1:38">
      <c r="A128" s="390"/>
      <c r="B128" s="390"/>
      <c r="C128" s="390"/>
      <c r="D128" s="390"/>
      <c r="E128" s="390"/>
      <c r="F128" s="390"/>
      <c r="G128" s="390"/>
      <c r="H128" s="390"/>
      <c r="I128" s="390"/>
      <c r="J128" s="390"/>
      <c r="K128" s="390"/>
      <c r="L128" s="390"/>
      <c r="M128" s="395"/>
      <c r="N128" s="390"/>
      <c r="O128" s="390"/>
      <c r="P128" s="390"/>
      <c r="Q128" s="390"/>
      <c r="R128" s="390"/>
      <c r="S128" s="390"/>
      <c r="T128" s="390"/>
      <c r="U128" s="390"/>
      <c r="V128" s="390"/>
      <c r="W128" s="390"/>
      <c r="X128" s="390"/>
      <c r="Y128" s="390"/>
      <c r="Z128" s="390"/>
      <c r="AA128" s="390"/>
      <c r="AB128" s="390"/>
      <c r="AC128" s="390"/>
      <c r="AD128" s="390"/>
      <c r="AE128" s="390"/>
      <c r="AF128" s="390"/>
      <c r="AG128" s="390"/>
      <c r="AH128" s="390"/>
      <c r="AI128" s="390"/>
      <c r="AJ128" s="390"/>
      <c r="AK128" s="390"/>
      <c r="AL128" s="390"/>
    </row>
    <row r="129" spans="1:38">
      <c r="A129" s="390"/>
      <c r="B129" s="390"/>
      <c r="C129" s="390"/>
      <c r="D129" s="390"/>
      <c r="E129" s="390"/>
      <c r="F129" s="390"/>
      <c r="G129" s="390"/>
      <c r="H129" s="390"/>
      <c r="I129" s="390"/>
      <c r="J129" s="390"/>
      <c r="K129" s="390"/>
      <c r="L129" s="390"/>
      <c r="M129" s="395"/>
      <c r="N129" s="390"/>
      <c r="O129" s="390"/>
      <c r="P129" s="390"/>
      <c r="Q129" s="390"/>
      <c r="R129" s="390"/>
      <c r="S129" s="390"/>
      <c r="T129" s="390"/>
      <c r="U129" s="390"/>
      <c r="V129" s="390"/>
      <c r="W129" s="390"/>
      <c r="X129" s="390"/>
      <c r="Y129" s="390"/>
      <c r="Z129" s="390"/>
      <c r="AA129" s="390"/>
      <c r="AB129" s="390"/>
      <c r="AC129" s="390"/>
      <c r="AD129" s="390"/>
      <c r="AE129" s="390"/>
      <c r="AF129" s="390"/>
      <c r="AG129" s="390"/>
      <c r="AH129" s="390"/>
      <c r="AI129" s="390"/>
      <c r="AJ129" s="390"/>
      <c r="AK129" s="390"/>
      <c r="AL129" s="390"/>
    </row>
    <row r="130" spans="1:38">
      <c r="A130" s="390"/>
      <c r="B130" s="390"/>
      <c r="C130" s="390"/>
      <c r="D130" s="390"/>
      <c r="E130" s="390"/>
      <c r="F130" s="390"/>
      <c r="G130" s="390"/>
      <c r="H130" s="390"/>
      <c r="I130" s="390"/>
      <c r="J130" s="390"/>
      <c r="K130" s="390"/>
      <c r="L130" s="390"/>
      <c r="M130" s="395"/>
      <c r="N130" s="390"/>
      <c r="O130" s="390"/>
      <c r="P130" s="390"/>
      <c r="Q130" s="390"/>
      <c r="R130" s="390"/>
      <c r="S130" s="390"/>
      <c r="T130" s="390"/>
      <c r="U130" s="390"/>
      <c r="V130" s="390"/>
      <c r="W130" s="390"/>
      <c r="X130" s="390"/>
      <c r="Y130" s="390"/>
      <c r="Z130" s="390"/>
      <c r="AA130" s="390"/>
      <c r="AB130" s="390"/>
      <c r="AC130" s="390"/>
      <c r="AD130" s="390"/>
      <c r="AE130" s="390"/>
      <c r="AF130" s="390"/>
      <c r="AG130" s="390"/>
      <c r="AH130" s="390"/>
      <c r="AI130" s="390"/>
      <c r="AJ130" s="390"/>
      <c r="AK130" s="390"/>
      <c r="AL130" s="390"/>
    </row>
    <row r="131" spans="1:38">
      <c r="A131" s="390"/>
      <c r="B131" s="390"/>
      <c r="C131" s="390"/>
      <c r="D131" s="390"/>
      <c r="E131" s="390"/>
      <c r="F131" s="390"/>
      <c r="G131" s="390"/>
      <c r="H131" s="390"/>
      <c r="I131" s="390"/>
      <c r="J131" s="390"/>
      <c r="K131" s="390"/>
      <c r="L131" s="390"/>
      <c r="M131" s="395"/>
      <c r="N131" s="390"/>
      <c r="O131" s="390"/>
      <c r="P131" s="390"/>
      <c r="Q131" s="390"/>
      <c r="R131" s="390"/>
      <c r="S131" s="390"/>
      <c r="T131" s="390"/>
      <c r="U131" s="390"/>
      <c r="V131" s="390"/>
      <c r="W131" s="390"/>
      <c r="X131" s="390"/>
      <c r="Y131" s="390"/>
      <c r="Z131" s="390"/>
      <c r="AA131" s="390"/>
      <c r="AB131" s="390"/>
      <c r="AC131" s="390"/>
      <c r="AD131" s="390"/>
      <c r="AE131" s="390"/>
      <c r="AF131" s="390"/>
      <c r="AG131" s="390"/>
      <c r="AH131" s="390"/>
      <c r="AI131" s="390"/>
      <c r="AJ131" s="390"/>
      <c r="AK131" s="390"/>
      <c r="AL131" s="390"/>
    </row>
    <row r="132" spans="1:38">
      <c r="A132" s="390"/>
      <c r="B132" s="390"/>
      <c r="C132" s="390"/>
      <c r="D132" s="390"/>
      <c r="E132" s="390"/>
      <c r="F132" s="390"/>
      <c r="G132" s="390"/>
      <c r="H132" s="390"/>
      <c r="I132" s="390"/>
      <c r="J132" s="390"/>
      <c r="K132" s="390"/>
      <c r="L132" s="390"/>
      <c r="M132" s="395"/>
      <c r="N132" s="390"/>
      <c r="O132" s="390"/>
      <c r="P132" s="390"/>
      <c r="Q132" s="390"/>
      <c r="R132" s="390"/>
      <c r="S132" s="390"/>
      <c r="T132" s="390"/>
      <c r="U132" s="390"/>
      <c r="V132" s="390"/>
      <c r="W132" s="390"/>
      <c r="X132" s="390"/>
      <c r="Y132" s="390"/>
      <c r="Z132" s="390"/>
      <c r="AA132" s="390"/>
      <c r="AB132" s="390"/>
      <c r="AC132" s="390"/>
      <c r="AD132" s="390"/>
      <c r="AE132" s="390"/>
      <c r="AF132" s="390"/>
      <c r="AG132" s="390"/>
      <c r="AH132" s="390"/>
      <c r="AI132" s="390"/>
      <c r="AJ132" s="390"/>
      <c r="AK132" s="390"/>
      <c r="AL132" s="390"/>
    </row>
    <row r="133" spans="1:38">
      <c r="A133" s="390"/>
      <c r="B133" s="390"/>
      <c r="C133" s="390"/>
      <c r="D133" s="390"/>
      <c r="E133" s="390"/>
      <c r="F133" s="390"/>
      <c r="G133" s="390"/>
      <c r="H133" s="390"/>
      <c r="I133" s="390"/>
      <c r="J133" s="390"/>
      <c r="K133" s="390"/>
      <c r="L133" s="390"/>
      <c r="M133" s="395"/>
      <c r="N133" s="390"/>
      <c r="O133" s="390"/>
      <c r="P133" s="390"/>
      <c r="Q133" s="390"/>
      <c r="R133" s="390"/>
      <c r="S133" s="390"/>
      <c r="T133" s="390"/>
      <c r="U133" s="390"/>
      <c r="V133" s="390"/>
      <c r="W133" s="390"/>
      <c r="X133" s="390"/>
      <c r="Y133" s="390"/>
      <c r="Z133" s="390"/>
      <c r="AA133" s="390"/>
      <c r="AB133" s="390"/>
      <c r="AC133" s="390"/>
      <c r="AD133" s="390"/>
      <c r="AE133" s="390"/>
      <c r="AF133" s="390"/>
      <c r="AG133" s="390"/>
      <c r="AH133" s="390"/>
      <c r="AI133" s="390"/>
      <c r="AJ133" s="390"/>
      <c r="AK133" s="390"/>
      <c r="AL133" s="390"/>
    </row>
    <row r="134" spans="1:38">
      <c r="A134" s="390"/>
      <c r="B134" s="390"/>
      <c r="C134" s="390"/>
      <c r="D134" s="390"/>
      <c r="E134" s="390"/>
      <c r="F134" s="390"/>
      <c r="G134" s="390"/>
      <c r="H134" s="390"/>
      <c r="I134" s="390"/>
      <c r="J134" s="390"/>
      <c r="K134" s="390"/>
      <c r="L134" s="390"/>
      <c r="M134" s="395"/>
      <c r="N134" s="390"/>
      <c r="O134" s="390"/>
      <c r="P134" s="390"/>
      <c r="Q134" s="390"/>
      <c r="R134" s="390"/>
      <c r="S134" s="390"/>
      <c r="T134" s="390"/>
      <c r="U134" s="390"/>
      <c r="V134" s="390"/>
      <c r="W134" s="390"/>
      <c r="X134" s="390"/>
      <c r="Y134" s="390"/>
      <c r="Z134" s="390"/>
      <c r="AA134" s="390"/>
      <c r="AB134" s="390"/>
      <c r="AC134" s="390"/>
      <c r="AD134" s="390"/>
      <c r="AE134" s="390"/>
      <c r="AF134" s="390"/>
      <c r="AG134" s="390"/>
      <c r="AH134" s="390"/>
      <c r="AI134" s="390"/>
      <c r="AJ134" s="390"/>
      <c r="AK134" s="390"/>
      <c r="AL134" s="390"/>
    </row>
    <row r="135" spans="1:38">
      <c r="A135" s="390"/>
      <c r="B135" s="390"/>
      <c r="C135" s="390"/>
      <c r="D135" s="390"/>
      <c r="E135" s="390"/>
      <c r="F135" s="390"/>
      <c r="G135" s="390"/>
      <c r="H135" s="390"/>
      <c r="I135" s="390"/>
      <c r="J135" s="390"/>
      <c r="K135" s="390"/>
      <c r="L135" s="390"/>
      <c r="M135" s="395"/>
      <c r="N135" s="390"/>
      <c r="O135" s="390"/>
      <c r="P135" s="390"/>
      <c r="Q135" s="390"/>
      <c r="R135" s="390"/>
      <c r="S135" s="390"/>
      <c r="T135" s="390"/>
      <c r="U135" s="390"/>
      <c r="V135" s="390"/>
      <c r="W135" s="390"/>
      <c r="X135" s="390"/>
      <c r="Y135" s="390"/>
      <c r="Z135" s="390"/>
      <c r="AA135" s="390"/>
      <c r="AB135" s="390"/>
      <c r="AC135" s="390"/>
      <c r="AD135" s="390"/>
      <c r="AE135" s="390"/>
      <c r="AF135" s="390"/>
      <c r="AG135" s="390"/>
      <c r="AH135" s="390"/>
      <c r="AI135" s="390"/>
      <c r="AJ135" s="390"/>
      <c r="AK135" s="390"/>
      <c r="AL135" s="390"/>
    </row>
    <row r="136" spans="1:38">
      <c r="A136" s="390"/>
      <c r="B136" s="390"/>
      <c r="C136" s="390"/>
      <c r="D136" s="390"/>
      <c r="E136" s="390"/>
      <c r="F136" s="390"/>
      <c r="G136" s="390"/>
      <c r="H136" s="390"/>
      <c r="I136" s="390"/>
      <c r="J136" s="390"/>
      <c r="K136" s="390"/>
      <c r="L136" s="390"/>
      <c r="M136" s="395"/>
      <c r="N136" s="390"/>
      <c r="O136" s="390"/>
      <c r="P136" s="390"/>
      <c r="Q136" s="390"/>
      <c r="R136" s="390"/>
      <c r="S136" s="390"/>
      <c r="T136" s="390"/>
      <c r="U136" s="390"/>
      <c r="V136" s="390"/>
      <c r="W136" s="390"/>
      <c r="X136" s="390"/>
      <c r="Y136" s="390"/>
      <c r="Z136" s="390"/>
      <c r="AA136" s="390"/>
      <c r="AB136" s="390"/>
      <c r="AC136" s="390"/>
      <c r="AD136" s="390"/>
      <c r="AE136" s="390"/>
      <c r="AF136" s="390"/>
      <c r="AG136" s="390"/>
      <c r="AH136" s="390"/>
      <c r="AI136" s="390"/>
      <c r="AJ136" s="390"/>
      <c r="AK136" s="390"/>
      <c r="AL136" s="390"/>
    </row>
    <row r="137" spans="1:38">
      <c r="A137" s="390"/>
      <c r="B137" s="390"/>
      <c r="C137" s="390"/>
      <c r="D137" s="390"/>
      <c r="E137" s="390"/>
      <c r="F137" s="390"/>
      <c r="G137" s="390"/>
      <c r="H137" s="390"/>
      <c r="I137" s="390"/>
      <c r="J137" s="390"/>
      <c r="K137" s="390"/>
      <c r="L137" s="390"/>
      <c r="M137" s="395"/>
      <c r="N137" s="390"/>
      <c r="O137" s="390"/>
      <c r="P137" s="390"/>
      <c r="Q137" s="390"/>
      <c r="R137" s="390"/>
      <c r="S137" s="390"/>
      <c r="T137" s="390"/>
      <c r="U137" s="390"/>
      <c r="V137" s="390"/>
      <c r="W137" s="390"/>
      <c r="X137" s="390"/>
      <c r="Y137" s="390"/>
      <c r="Z137" s="390"/>
      <c r="AA137" s="390"/>
      <c r="AB137" s="390"/>
      <c r="AC137" s="390"/>
      <c r="AD137" s="390"/>
      <c r="AE137" s="390"/>
      <c r="AF137" s="390"/>
      <c r="AG137" s="390"/>
      <c r="AH137" s="390"/>
      <c r="AI137" s="390"/>
      <c r="AJ137" s="390"/>
      <c r="AK137" s="390"/>
      <c r="AL137" s="390"/>
    </row>
    <row r="138" spans="1:38">
      <c r="A138" s="390"/>
      <c r="B138" s="390"/>
      <c r="C138" s="390"/>
      <c r="D138" s="390"/>
      <c r="E138" s="390"/>
      <c r="F138" s="390"/>
      <c r="G138" s="390"/>
      <c r="H138" s="390"/>
      <c r="I138" s="390"/>
      <c r="J138" s="390"/>
      <c r="K138" s="390"/>
      <c r="L138" s="390"/>
      <c r="M138" s="395"/>
      <c r="N138" s="390"/>
      <c r="O138" s="390"/>
      <c r="P138" s="390"/>
      <c r="Q138" s="390"/>
      <c r="R138" s="390"/>
      <c r="S138" s="390"/>
      <c r="T138" s="390"/>
      <c r="U138" s="390"/>
      <c r="V138" s="390"/>
      <c r="W138" s="390"/>
      <c r="X138" s="390"/>
      <c r="Y138" s="390"/>
      <c r="Z138" s="390"/>
      <c r="AA138" s="390"/>
      <c r="AB138" s="390"/>
      <c r="AC138" s="390"/>
      <c r="AD138" s="390"/>
      <c r="AE138" s="390"/>
      <c r="AF138" s="390"/>
      <c r="AG138" s="390"/>
      <c r="AH138" s="390"/>
      <c r="AI138" s="390"/>
      <c r="AJ138" s="390"/>
      <c r="AK138" s="390"/>
      <c r="AL138" s="390"/>
    </row>
    <row r="139" spans="1:38">
      <c r="A139" s="390"/>
      <c r="B139" s="390"/>
      <c r="C139" s="390"/>
      <c r="D139" s="390"/>
      <c r="E139" s="390"/>
      <c r="F139" s="390"/>
      <c r="G139" s="390"/>
      <c r="H139" s="390"/>
      <c r="I139" s="390"/>
      <c r="J139" s="390"/>
      <c r="K139" s="390"/>
      <c r="L139" s="390"/>
      <c r="M139" s="395"/>
      <c r="N139" s="390"/>
      <c r="O139" s="390"/>
      <c r="P139" s="390"/>
      <c r="Q139" s="390"/>
      <c r="R139" s="390"/>
      <c r="S139" s="390"/>
      <c r="T139" s="390"/>
      <c r="U139" s="390"/>
      <c r="V139" s="390"/>
      <c r="W139" s="390"/>
      <c r="X139" s="390"/>
      <c r="Y139" s="390"/>
      <c r="Z139" s="390"/>
      <c r="AA139" s="390"/>
      <c r="AB139" s="390"/>
      <c r="AC139" s="390"/>
      <c r="AD139" s="390"/>
      <c r="AE139" s="390"/>
      <c r="AF139" s="390"/>
      <c r="AG139" s="390"/>
      <c r="AH139" s="390"/>
      <c r="AI139" s="390"/>
      <c r="AJ139" s="390"/>
      <c r="AK139" s="390"/>
      <c r="AL139" s="390"/>
    </row>
    <row r="140" spans="1:38">
      <c r="A140" s="390"/>
      <c r="B140" s="390"/>
      <c r="C140" s="390"/>
      <c r="D140" s="390"/>
      <c r="E140" s="390"/>
      <c r="F140" s="390"/>
      <c r="G140" s="390"/>
      <c r="H140" s="390"/>
      <c r="I140" s="390"/>
      <c r="J140" s="390"/>
      <c r="K140" s="390"/>
      <c r="L140" s="390"/>
      <c r="M140" s="395"/>
      <c r="N140" s="390"/>
      <c r="O140" s="390"/>
      <c r="P140" s="390"/>
      <c r="Q140" s="390"/>
      <c r="R140" s="390"/>
      <c r="S140" s="390"/>
      <c r="T140" s="390"/>
      <c r="U140" s="390"/>
      <c r="V140" s="390"/>
      <c r="W140" s="390"/>
      <c r="X140" s="390"/>
      <c r="Y140" s="390"/>
      <c r="Z140" s="390"/>
      <c r="AA140" s="390"/>
      <c r="AB140" s="390"/>
      <c r="AC140" s="390"/>
      <c r="AD140" s="390"/>
      <c r="AE140" s="390"/>
      <c r="AF140" s="390"/>
      <c r="AG140" s="390"/>
      <c r="AH140" s="390"/>
      <c r="AI140" s="390"/>
      <c r="AJ140" s="390"/>
      <c r="AK140" s="390"/>
      <c r="AL140" s="390"/>
    </row>
    <row r="141" spans="1:38">
      <c r="A141" s="390"/>
      <c r="B141" s="390"/>
      <c r="C141" s="390"/>
      <c r="D141" s="390"/>
      <c r="E141" s="390"/>
      <c r="F141" s="390"/>
      <c r="G141" s="390"/>
      <c r="H141" s="390"/>
      <c r="I141" s="390"/>
      <c r="J141" s="390"/>
      <c r="K141" s="390"/>
      <c r="L141" s="390"/>
      <c r="M141" s="395"/>
      <c r="N141" s="390"/>
      <c r="O141" s="390"/>
      <c r="P141" s="390"/>
      <c r="Q141" s="390"/>
      <c r="R141" s="390"/>
      <c r="S141" s="390"/>
      <c r="T141" s="390"/>
      <c r="U141" s="390"/>
      <c r="V141" s="390"/>
      <c r="W141" s="390"/>
      <c r="X141" s="390"/>
      <c r="Y141" s="390"/>
      <c r="Z141" s="390"/>
      <c r="AA141" s="390"/>
      <c r="AB141" s="390"/>
      <c r="AC141" s="390"/>
      <c r="AD141" s="390"/>
      <c r="AE141" s="390"/>
      <c r="AF141" s="390"/>
      <c r="AG141" s="390"/>
      <c r="AH141" s="390"/>
      <c r="AI141" s="390"/>
      <c r="AJ141" s="390"/>
      <c r="AK141" s="390"/>
      <c r="AL141" s="390"/>
    </row>
    <row r="142" spans="1:38">
      <c r="A142" s="390"/>
      <c r="B142" s="390"/>
      <c r="C142" s="390"/>
      <c r="D142" s="390"/>
      <c r="E142" s="390"/>
      <c r="F142" s="390"/>
      <c r="G142" s="390"/>
      <c r="H142" s="390"/>
      <c r="I142" s="390"/>
      <c r="J142" s="390"/>
      <c r="K142" s="390"/>
      <c r="L142" s="390"/>
      <c r="M142" s="395"/>
      <c r="N142" s="390"/>
      <c r="O142" s="390"/>
      <c r="P142" s="390"/>
      <c r="Q142" s="390"/>
      <c r="R142" s="390"/>
      <c r="S142" s="390"/>
      <c r="T142" s="390"/>
      <c r="U142" s="390"/>
      <c r="V142" s="390"/>
      <c r="W142" s="390"/>
      <c r="X142" s="390"/>
      <c r="Y142" s="390"/>
      <c r="Z142" s="390"/>
      <c r="AA142" s="390"/>
      <c r="AB142" s="390"/>
      <c r="AC142" s="390"/>
      <c r="AD142" s="390"/>
      <c r="AE142" s="390"/>
      <c r="AF142" s="390"/>
      <c r="AG142" s="390"/>
      <c r="AH142" s="390"/>
      <c r="AI142" s="390"/>
      <c r="AJ142" s="390"/>
      <c r="AK142" s="390"/>
      <c r="AL142" s="390"/>
    </row>
    <row r="143" spans="1:38">
      <c r="A143" s="390"/>
      <c r="B143" s="390"/>
      <c r="C143" s="390"/>
      <c r="D143" s="390"/>
      <c r="E143" s="390"/>
      <c r="F143" s="390"/>
      <c r="G143" s="390"/>
      <c r="H143" s="390"/>
      <c r="I143" s="390"/>
      <c r="J143" s="390"/>
      <c r="K143" s="390"/>
      <c r="L143" s="390"/>
      <c r="M143" s="395"/>
      <c r="N143" s="390"/>
      <c r="O143" s="390"/>
      <c r="P143" s="390"/>
      <c r="Q143" s="390"/>
      <c r="R143" s="390"/>
      <c r="S143" s="390"/>
      <c r="T143" s="390"/>
      <c r="U143" s="390"/>
      <c r="V143" s="390"/>
      <c r="W143" s="390"/>
      <c r="X143" s="390"/>
      <c r="Y143" s="390"/>
      <c r="Z143" s="390"/>
      <c r="AA143" s="390"/>
      <c r="AB143" s="390"/>
      <c r="AC143" s="390"/>
      <c r="AD143" s="390"/>
      <c r="AE143" s="390"/>
      <c r="AF143" s="390"/>
      <c r="AG143" s="390"/>
      <c r="AH143" s="390"/>
      <c r="AI143" s="390"/>
      <c r="AJ143" s="390"/>
      <c r="AK143" s="390"/>
      <c r="AL143" s="390"/>
    </row>
    <row r="144" spans="1:38">
      <c r="A144" s="390"/>
      <c r="B144" s="390"/>
      <c r="C144" s="390"/>
      <c r="D144" s="390"/>
      <c r="E144" s="390"/>
      <c r="F144" s="390"/>
      <c r="G144" s="390"/>
      <c r="H144" s="390"/>
      <c r="I144" s="390"/>
      <c r="J144" s="390"/>
      <c r="K144" s="390"/>
      <c r="L144" s="390"/>
      <c r="M144" s="395"/>
      <c r="N144" s="390"/>
      <c r="O144" s="390"/>
      <c r="P144" s="390"/>
      <c r="Q144" s="390"/>
      <c r="R144" s="390"/>
      <c r="S144" s="390"/>
      <c r="T144" s="390"/>
      <c r="U144" s="390"/>
      <c r="V144" s="390"/>
      <c r="W144" s="390"/>
      <c r="X144" s="390"/>
      <c r="Y144" s="390"/>
      <c r="Z144" s="390"/>
      <c r="AA144" s="390"/>
      <c r="AB144" s="390"/>
      <c r="AC144" s="390"/>
      <c r="AD144" s="390"/>
      <c r="AE144" s="390"/>
      <c r="AF144" s="390"/>
      <c r="AG144" s="390"/>
      <c r="AH144" s="390"/>
      <c r="AI144" s="390"/>
      <c r="AJ144" s="390"/>
      <c r="AK144" s="390"/>
      <c r="AL144" s="390"/>
    </row>
    <row r="145" spans="1:38">
      <c r="A145" s="390"/>
      <c r="B145" s="390"/>
      <c r="C145" s="390"/>
      <c r="D145" s="390"/>
      <c r="E145" s="390"/>
      <c r="F145" s="390"/>
      <c r="G145" s="390"/>
      <c r="H145" s="390"/>
      <c r="I145" s="390"/>
      <c r="J145" s="390"/>
      <c r="K145" s="390"/>
      <c r="L145" s="390"/>
      <c r="M145" s="395"/>
      <c r="N145" s="390"/>
      <c r="O145" s="390"/>
      <c r="P145" s="390"/>
      <c r="Q145" s="390"/>
      <c r="R145" s="390"/>
      <c r="S145" s="390"/>
      <c r="T145" s="390"/>
      <c r="U145" s="390"/>
      <c r="V145" s="390"/>
      <c r="W145" s="390"/>
      <c r="X145" s="390"/>
      <c r="Y145" s="390"/>
      <c r="Z145" s="390"/>
      <c r="AA145" s="390"/>
      <c r="AB145" s="390"/>
      <c r="AC145" s="390"/>
      <c r="AD145" s="390"/>
      <c r="AE145" s="390"/>
      <c r="AF145" s="390"/>
      <c r="AG145" s="390"/>
      <c r="AH145" s="390"/>
      <c r="AI145" s="390"/>
      <c r="AJ145" s="390"/>
      <c r="AK145" s="390"/>
      <c r="AL145" s="390"/>
    </row>
    <row r="146" spans="1:38">
      <c r="A146" s="390"/>
      <c r="B146" s="390"/>
      <c r="C146" s="390"/>
      <c r="D146" s="390"/>
      <c r="E146" s="390"/>
      <c r="F146" s="390"/>
      <c r="G146" s="390"/>
      <c r="H146" s="390"/>
      <c r="I146" s="390"/>
      <c r="J146" s="390"/>
      <c r="K146" s="390"/>
      <c r="L146" s="390"/>
      <c r="M146" s="395"/>
      <c r="N146" s="390"/>
      <c r="O146" s="390"/>
      <c r="P146" s="390"/>
      <c r="Q146" s="390"/>
      <c r="R146" s="390"/>
      <c r="S146" s="390"/>
      <c r="T146" s="390"/>
      <c r="U146" s="390"/>
      <c r="V146" s="390"/>
      <c r="W146" s="390"/>
      <c r="X146" s="390"/>
      <c r="Y146" s="390"/>
      <c r="Z146" s="390"/>
      <c r="AA146" s="390"/>
      <c r="AB146" s="390"/>
      <c r="AC146" s="390"/>
      <c r="AD146" s="390"/>
      <c r="AE146" s="390"/>
      <c r="AF146" s="390"/>
      <c r="AG146" s="390"/>
      <c r="AH146" s="390"/>
      <c r="AI146" s="390"/>
      <c r="AJ146" s="390"/>
      <c r="AK146" s="390"/>
      <c r="AL146" s="390"/>
    </row>
    <row r="147" spans="1:38">
      <c r="A147" s="390"/>
      <c r="B147" s="390"/>
      <c r="C147" s="390"/>
      <c r="D147" s="390"/>
      <c r="E147" s="390"/>
      <c r="F147" s="390"/>
      <c r="G147" s="390"/>
      <c r="H147" s="390"/>
      <c r="I147" s="390"/>
      <c r="J147" s="390"/>
      <c r="K147" s="390"/>
      <c r="L147" s="390"/>
      <c r="M147" s="395"/>
      <c r="N147" s="390"/>
      <c r="O147" s="390"/>
      <c r="P147" s="390"/>
      <c r="Q147" s="390"/>
      <c r="R147" s="390"/>
      <c r="S147" s="390"/>
      <c r="T147" s="390"/>
      <c r="U147" s="390"/>
      <c r="V147" s="390"/>
      <c r="W147" s="390"/>
      <c r="X147" s="390"/>
      <c r="Y147" s="390"/>
      <c r="Z147" s="390"/>
      <c r="AA147" s="390"/>
      <c r="AB147" s="390"/>
      <c r="AC147" s="390"/>
      <c r="AD147" s="390"/>
      <c r="AE147" s="390"/>
      <c r="AF147" s="390"/>
      <c r="AG147" s="390"/>
      <c r="AH147" s="390"/>
      <c r="AI147" s="390"/>
      <c r="AJ147" s="390"/>
      <c r="AK147" s="390"/>
      <c r="AL147" s="390"/>
    </row>
    <row r="148" spans="1:38">
      <c r="A148" s="390"/>
      <c r="B148" s="390"/>
      <c r="C148" s="390"/>
      <c r="D148" s="390"/>
      <c r="E148" s="390"/>
      <c r="F148" s="390"/>
      <c r="G148" s="390"/>
      <c r="H148" s="390"/>
      <c r="I148" s="390"/>
      <c r="J148" s="390"/>
      <c r="K148" s="390"/>
      <c r="L148" s="390"/>
      <c r="M148" s="395"/>
      <c r="N148" s="390"/>
      <c r="O148" s="390"/>
      <c r="P148" s="390"/>
      <c r="Q148" s="390"/>
      <c r="R148" s="390"/>
      <c r="S148" s="390"/>
      <c r="T148" s="390"/>
      <c r="U148" s="390"/>
      <c r="V148" s="390"/>
      <c r="W148" s="390"/>
      <c r="X148" s="390"/>
      <c r="Y148" s="390"/>
      <c r="Z148" s="390"/>
      <c r="AA148" s="390"/>
      <c r="AB148" s="390"/>
      <c r="AC148" s="390"/>
      <c r="AD148" s="390"/>
      <c r="AE148" s="390"/>
      <c r="AF148" s="390"/>
      <c r="AG148" s="390"/>
      <c r="AH148" s="390"/>
      <c r="AI148" s="390"/>
      <c r="AJ148" s="390"/>
      <c r="AK148" s="390"/>
      <c r="AL148" s="390"/>
    </row>
    <row r="149" spans="1:38">
      <c r="A149" s="390"/>
      <c r="B149" s="390"/>
      <c r="C149" s="390"/>
      <c r="D149" s="390"/>
      <c r="E149" s="390"/>
      <c r="F149" s="390"/>
      <c r="G149" s="390"/>
      <c r="H149" s="390"/>
      <c r="I149" s="390"/>
      <c r="J149" s="390"/>
      <c r="K149" s="390"/>
      <c r="L149" s="390"/>
      <c r="M149" s="395"/>
      <c r="N149" s="390"/>
      <c r="O149" s="390"/>
      <c r="P149" s="390"/>
      <c r="Q149" s="390"/>
      <c r="R149" s="390"/>
      <c r="S149" s="390"/>
      <c r="T149" s="390"/>
      <c r="U149" s="390"/>
      <c r="V149" s="390"/>
      <c r="W149" s="390"/>
      <c r="X149" s="390"/>
      <c r="Y149" s="390"/>
      <c r="Z149" s="390"/>
      <c r="AA149" s="390"/>
      <c r="AB149" s="390"/>
      <c r="AC149" s="390"/>
      <c r="AD149" s="390"/>
      <c r="AE149" s="390"/>
      <c r="AF149" s="390"/>
      <c r="AG149" s="390"/>
      <c r="AH149" s="390"/>
      <c r="AI149" s="390"/>
      <c r="AJ149" s="390"/>
      <c r="AK149" s="390"/>
      <c r="AL149" s="390"/>
    </row>
    <row r="150" spans="1:38">
      <c r="A150" s="390"/>
      <c r="B150" s="390"/>
      <c r="C150" s="390"/>
      <c r="D150" s="390"/>
      <c r="E150" s="390"/>
      <c r="F150" s="390"/>
      <c r="G150" s="390"/>
      <c r="H150" s="390"/>
      <c r="I150" s="390"/>
      <c r="J150" s="390"/>
      <c r="K150" s="390"/>
      <c r="L150" s="390"/>
      <c r="M150" s="395"/>
      <c r="N150" s="390"/>
      <c r="O150" s="390"/>
      <c r="P150" s="390"/>
      <c r="Q150" s="390"/>
      <c r="R150" s="390"/>
      <c r="S150" s="390"/>
      <c r="T150" s="390"/>
      <c r="U150" s="390"/>
      <c r="V150" s="390"/>
      <c r="W150" s="390"/>
      <c r="X150" s="390"/>
      <c r="Y150" s="390"/>
      <c r="Z150" s="390"/>
      <c r="AA150" s="390"/>
      <c r="AB150" s="390"/>
      <c r="AC150" s="390"/>
      <c r="AD150" s="390"/>
      <c r="AE150" s="390"/>
      <c r="AF150" s="390"/>
      <c r="AG150" s="390"/>
      <c r="AH150" s="390"/>
      <c r="AI150" s="390"/>
      <c r="AJ150" s="390"/>
      <c r="AK150" s="390"/>
      <c r="AL150" s="390"/>
    </row>
    <row r="151" spans="1:38">
      <c r="A151" s="390"/>
      <c r="B151" s="390"/>
      <c r="C151" s="390"/>
      <c r="D151" s="390"/>
      <c r="E151" s="390"/>
      <c r="F151" s="390"/>
      <c r="G151" s="390"/>
      <c r="H151" s="390"/>
      <c r="I151" s="390"/>
      <c r="J151" s="390"/>
      <c r="K151" s="390"/>
      <c r="L151" s="390"/>
      <c r="M151" s="395"/>
      <c r="N151" s="390"/>
      <c r="O151" s="390"/>
      <c r="P151" s="390"/>
      <c r="Q151" s="390"/>
      <c r="R151" s="390"/>
      <c r="S151" s="390"/>
      <c r="T151" s="390"/>
      <c r="U151" s="390"/>
      <c r="V151" s="390"/>
      <c r="W151" s="390"/>
      <c r="X151" s="390"/>
      <c r="Y151" s="390"/>
      <c r="Z151" s="390"/>
      <c r="AA151" s="390"/>
      <c r="AB151" s="390"/>
      <c r="AC151" s="390"/>
      <c r="AD151" s="390"/>
      <c r="AE151" s="390"/>
      <c r="AF151" s="390"/>
      <c r="AG151" s="390"/>
      <c r="AH151" s="390"/>
      <c r="AI151" s="390"/>
      <c r="AJ151" s="390"/>
      <c r="AK151" s="390"/>
      <c r="AL151" s="390"/>
    </row>
    <row r="152" spans="1:38">
      <c r="A152" s="390"/>
      <c r="B152" s="390"/>
      <c r="C152" s="390"/>
      <c r="D152" s="390"/>
      <c r="E152" s="390"/>
      <c r="F152" s="390"/>
      <c r="G152" s="390"/>
      <c r="H152" s="390"/>
      <c r="I152" s="390"/>
      <c r="J152" s="390"/>
      <c r="K152" s="390"/>
      <c r="L152" s="390"/>
      <c r="M152" s="395"/>
      <c r="N152" s="390"/>
      <c r="O152" s="390"/>
      <c r="P152" s="390"/>
      <c r="Q152" s="390"/>
      <c r="R152" s="390"/>
      <c r="S152" s="390"/>
      <c r="T152" s="390"/>
      <c r="U152" s="390"/>
      <c r="V152" s="390"/>
      <c r="W152" s="390"/>
      <c r="X152" s="390"/>
      <c r="Y152" s="390"/>
      <c r="Z152" s="390"/>
      <c r="AA152" s="390"/>
      <c r="AB152" s="390"/>
      <c r="AC152" s="390"/>
      <c r="AD152" s="390"/>
      <c r="AE152" s="390"/>
      <c r="AF152" s="390"/>
      <c r="AG152" s="390"/>
      <c r="AH152" s="390"/>
      <c r="AI152" s="390"/>
      <c r="AJ152" s="390"/>
      <c r="AK152" s="390"/>
      <c r="AL152" s="390"/>
    </row>
    <row r="153" spans="1:38">
      <c r="A153" s="390"/>
      <c r="B153" s="390"/>
      <c r="C153" s="390"/>
      <c r="D153" s="390"/>
      <c r="E153" s="390"/>
      <c r="F153" s="390"/>
      <c r="G153" s="390"/>
      <c r="H153" s="390"/>
      <c r="I153" s="390"/>
      <c r="J153" s="390"/>
      <c r="K153" s="390"/>
      <c r="L153" s="390"/>
      <c r="M153" s="395"/>
      <c r="N153" s="390"/>
      <c r="O153" s="390"/>
      <c r="P153" s="390"/>
      <c r="Q153" s="390"/>
      <c r="R153" s="390"/>
      <c r="S153" s="390"/>
      <c r="T153" s="390"/>
      <c r="U153" s="390"/>
      <c r="V153" s="390"/>
      <c r="W153" s="390"/>
      <c r="X153" s="390"/>
      <c r="Y153" s="390"/>
      <c r="Z153" s="390"/>
      <c r="AA153" s="390"/>
      <c r="AB153" s="390"/>
      <c r="AC153" s="390"/>
      <c r="AD153" s="390"/>
      <c r="AE153" s="390"/>
      <c r="AF153" s="390"/>
      <c r="AG153" s="390"/>
      <c r="AH153" s="390"/>
      <c r="AI153" s="390"/>
      <c r="AJ153" s="390"/>
      <c r="AK153" s="390"/>
      <c r="AL153" s="390"/>
    </row>
    <row r="154" spans="1:38">
      <c r="A154" s="390"/>
      <c r="B154" s="390"/>
      <c r="C154" s="390"/>
      <c r="D154" s="390"/>
      <c r="E154" s="390"/>
      <c r="F154" s="390"/>
      <c r="G154" s="390"/>
      <c r="H154" s="390"/>
      <c r="I154" s="390"/>
      <c r="J154" s="390"/>
      <c r="K154" s="390"/>
      <c r="L154" s="390"/>
      <c r="M154" s="395"/>
      <c r="N154" s="390"/>
      <c r="O154" s="390"/>
      <c r="P154" s="390"/>
      <c r="Q154" s="390"/>
      <c r="R154" s="390"/>
      <c r="S154" s="390"/>
      <c r="T154" s="390"/>
      <c r="U154" s="390"/>
      <c r="V154" s="390"/>
      <c r="W154" s="390"/>
      <c r="X154" s="390"/>
      <c r="Y154" s="390"/>
      <c r="Z154" s="390"/>
      <c r="AA154" s="390"/>
      <c r="AB154" s="390"/>
      <c r="AC154" s="390"/>
      <c r="AD154" s="390"/>
      <c r="AE154" s="390"/>
      <c r="AF154" s="390"/>
      <c r="AG154" s="390"/>
      <c r="AH154" s="390"/>
      <c r="AI154" s="390"/>
      <c r="AJ154" s="390"/>
      <c r="AK154" s="390"/>
      <c r="AL154" s="390"/>
    </row>
    <row r="155" spans="1:38">
      <c r="A155" s="390"/>
      <c r="B155" s="390"/>
      <c r="C155" s="390"/>
      <c r="D155" s="390"/>
      <c r="E155" s="390"/>
      <c r="F155" s="390"/>
      <c r="G155" s="390"/>
      <c r="H155" s="390"/>
      <c r="I155" s="390"/>
      <c r="J155" s="390"/>
      <c r="K155" s="390"/>
      <c r="L155" s="390"/>
      <c r="M155" s="395"/>
      <c r="N155" s="390"/>
      <c r="O155" s="390"/>
      <c r="P155" s="390"/>
      <c r="Q155" s="390"/>
      <c r="R155" s="390"/>
      <c r="S155" s="390"/>
      <c r="T155" s="390"/>
      <c r="U155" s="390"/>
      <c r="V155" s="390"/>
      <c r="W155" s="390"/>
      <c r="X155" s="390"/>
      <c r="Y155" s="390"/>
      <c r="Z155" s="390"/>
      <c r="AA155" s="390"/>
      <c r="AB155" s="390"/>
      <c r="AC155" s="390"/>
      <c r="AD155" s="390"/>
      <c r="AE155" s="390"/>
      <c r="AF155" s="390"/>
      <c r="AG155" s="390"/>
      <c r="AH155" s="390"/>
      <c r="AI155" s="390"/>
      <c r="AJ155" s="390"/>
      <c r="AK155" s="390"/>
      <c r="AL155" s="390"/>
    </row>
    <row r="156" spans="1:38">
      <c r="A156" s="390"/>
      <c r="B156" s="390"/>
      <c r="C156" s="390"/>
      <c r="D156" s="390"/>
      <c r="E156" s="390"/>
      <c r="F156" s="390"/>
      <c r="G156" s="390"/>
      <c r="H156" s="390"/>
      <c r="I156" s="390"/>
      <c r="J156" s="390"/>
      <c r="K156" s="390"/>
      <c r="L156" s="390"/>
      <c r="M156" s="395"/>
      <c r="N156" s="390"/>
      <c r="O156" s="390"/>
      <c r="P156" s="390"/>
      <c r="Q156" s="390"/>
      <c r="R156" s="390"/>
      <c r="S156" s="390"/>
      <c r="T156" s="390"/>
      <c r="U156" s="390"/>
      <c r="V156" s="390"/>
      <c r="W156" s="390"/>
      <c r="X156" s="390"/>
      <c r="Y156" s="390"/>
      <c r="Z156" s="390"/>
      <c r="AA156" s="390"/>
      <c r="AB156" s="390"/>
      <c r="AC156" s="390"/>
      <c r="AD156" s="390"/>
      <c r="AE156" s="390"/>
      <c r="AF156" s="390"/>
      <c r="AG156" s="390"/>
      <c r="AH156" s="390"/>
      <c r="AI156" s="390"/>
      <c r="AJ156" s="390"/>
      <c r="AK156" s="390"/>
      <c r="AL156" s="390"/>
    </row>
    <row r="157" spans="1:38">
      <c r="A157" s="390"/>
      <c r="B157" s="390"/>
      <c r="C157" s="390"/>
      <c r="D157" s="390"/>
      <c r="E157" s="390"/>
      <c r="F157" s="390"/>
      <c r="G157" s="390"/>
      <c r="H157" s="390"/>
      <c r="I157" s="390"/>
      <c r="J157" s="390"/>
      <c r="K157" s="390"/>
      <c r="L157" s="390"/>
      <c r="M157" s="395"/>
      <c r="N157" s="390"/>
      <c r="O157" s="390"/>
      <c r="P157" s="390"/>
      <c r="Q157" s="390"/>
      <c r="R157" s="390"/>
      <c r="S157" s="390"/>
      <c r="T157" s="390"/>
      <c r="U157" s="390"/>
      <c r="V157" s="390"/>
      <c r="W157" s="390"/>
      <c r="X157" s="390"/>
      <c r="Y157" s="390"/>
      <c r="Z157" s="390"/>
      <c r="AA157" s="390"/>
      <c r="AB157" s="390"/>
      <c r="AC157" s="390"/>
      <c r="AD157" s="390"/>
      <c r="AE157" s="390"/>
      <c r="AF157" s="390"/>
      <c r="AG157" s="390"/>
      <c r="AH157" s="390"/>
      <c r="AI157" s="390"/>
      <c r="AJ157" s="390"/>
      <c r="AK157" s="390"/>
      <c r="AL157" s="390"/>
    </row>
    <row r="158" spans="1:38">
      <c r="A158" s="390"/>
      <c r="B158" s="390"/>
      <c r="C158" s="390"/>
      <c r="D158" s="390"/>
      <c r="E158" s="390"/>
      <c r="F158" s="390"/>
      <c r="G158" s="390"/>
      <c r="H158" s="390"/>
      <c r="I158" s="390"/>
      <c r="J158" s="390"/>
      <c r="K158" s="390"/>
      <c r="L158" s="390"/>
      <c r="M158" s="395"/>
      <c r="N158" s="390"/>
      <c r="O158" s="390"/>
      <c r="P158" s="390"/>
      <c r="Q158" s="390"/>
      <c r="R158" s="390"/>
      <c r="S158" s="390"/>
      <c r="T158" s="390"/>
      <c r="U158" s="390"/>
      <c r="V158" s="390"/>
      <c r="W158" s="390"/>
      <c r="X158" s="390"/>
      <c r="Y158" s="390"/>
      <c r="Z158" s="390"/>
      <c r="AA158" s="390"/>
      <c r="AB158" s="390"/>
      <c r="AC158" s="390"/>
      <c r="AD158" s="390"/>
      <c r="AE158" s="390"/>
      <c r="AF158" s="390"/>
      <c r="AG158" s="390"/>
      <c r="AH158" s="390"/>
      <c r="AI158" s="390"/>
      <c r="AJ158" s="390"/>
      <c r="AK158" s="390"/>
      <c r="AL158" s="390"/>
    </row>
    <row r="159" spans="1:38">
      <c r="A159" s="390"/>
      <c r="B159" s="390"/>
      <c r="C159" s="390"/>
      <c r="D159" s="390"/>
      <c r="E159" s="390"/>
      <c r="F159" s="390"/>
      <c r="G159" s="390"/>
      <c r="H159" s="390"/>
      <c r="I159" s="390"/>
      <c r="J159" s="390"/>
      <c r="K159" s="390"/>
      <c r="L159" s="390"/>
      <c r="M159" s="395"/>
      <c r="N159" s="390"/>
      <c r="O159" s="390"/>
      <c r="P159" s="390"/>
      <c r="Q159" s="390"/>
      <c r="R159" s="390"/>
      <c r="S159" s="390"/>
      <c r="T159" s="390"/>
      <c r="U159" s="390"/>
      <c r="V159" s="390"/>
      <c r="W159" s="390"/>
      <c r="X159" s="390"/>
      <c r="Y159" s="390"/>
      <c r="Z159" s="390"/>
      <c r="AA159" s="390"/>
      <c r="AB159" s="390"/>
      <c r="AC159" s="390"/>
      <c r="AD159" s="390"/>
      <c r="AE159" s="390"/>
      <c r="AF159" s="390"/>
      <c r="AG159" s="390"/>
      <c r="AH159" s="390"/>
      <c r="AI159" s="390"/>
      <c r="AJ159" s="390"/>
      <c r="AK159" s="390"/>
      <c r="AL159" s="390"/>
    </row>
    <row r="160" spans="1:38">
      <c r="A160" s="390"/>
      <c r="B160" s="390"/>
      <c r="C160" s="390"/>
      <c r="D160" s="390"/>
      <c r="E160" s="390"/>
      <c r="F160" s="390"/>
      <c r="G160" s="390"/>
      <c r="H160" s="390"/>
      <c r="I160" s="390"/>
      <c r="J160" s="390"/>
      <c r="K160" s="390"/>
      <c r="L160" s="390"/>
      <c r="M160" s="395"/>
      <c r="N160" s="390"/>
      <c r="O160" s="390"/>
      <c r="P160" s="390"/>
      <c r="Q160" s="390"/>
      <c r="R160" s="390"/>
      <c r="S160" s="390"/>
      <c r="T160" s="390"/>
      <c r="U160" s="390"/>
      <c r="V160" s="390"/>
      <c r="W160" s="390"/>
      <c r="X160" s="390"/>
      <c r="Y160" s="390"/>
      <c r="Z160" s="390"/>
      <c r="AA160" s="390"/>
      <c r="AB160" s="390"/>
      <c r="AC160" s="390"/>
      <c r="AD160" s="390"/>
      <c r="AE160" s="390"/>
      <c r="AF160" s="390"/>
      <c r="AG160" s="390"/>
      <c r="AH160" s="390"/>
      <c r="AI160" s="390"/>
      <c r="AJ160" s="390"/>
      <c r="AK160" s="390"/>
      <c r="AL160" s="390"/>
    </row>
    <row r="161" spans="1:38">
      <c r="A161" s="390"/>
      <c r="B161" s="390"/>
      <c r="C161" s="390"/>
      <c r="D161" s="390"/>
      <c r="E161" s="390"/>
      <c r="F161" s="390"/>
      <c r="G161" s="390"/>
      <c r="H161" s="390"/>
      <c r="I161" s="390"/>
      <c r="J161" s="390"/>
      <c r="K161" s="390"/>
      <c r="L161" s="390"/>
      <c r="M161" s="395"/>
      <c r="N161" s="390"/>
      <c r="O161" s="390"/>
      <c r="P161" s="390"/>
      <c r="Q161" s="390"/>
      <c r="R161" s="390"/>
      <c r="S161" s="390"/>
      <c r="T161" s="390"/>
      <c r="U161" s="390"/>
      <c r="V161" s="390"/>
      <c r="W161" s="390"/>
      <c r="X161" s="390"/>
      <c r="Y161" s="390"/>
      <c r="Z161" s="390"/>
      <c r="AA161" s="390"/>
      <c r="AB161" s="390"/>
      <c r="AC161" s="390"/>
      <c r="AD161" s="390"/>
      <c r="AE161" s="390"/>
      <c r="AF161" s="390"/>
      <c r="AG161" s="390"/>
      <c r="AH161" s="390"/>
      <c r="AI161" s="390"/>
      <c r="AJ161" s="390"/>
      <c r="AK161" s="390"/>
      <c r="AL161" s="390"/>
    </row>
    <row r="162" spans="1:38">
      <c r="A162" s="390"/>
      <c r="B162" s="390"/>
      <c r="C162" s="390"/>
      <c r="D162" s="390"/>
      <c r="E162" s="390"/>
      <c r="F162" s="390"/>
      <c r="G162" s="390"/>
      <c r="H162" s="390"/>
      <c r="I162" s="390"/>
      <c r="J162" s="390"/>
      <c r="K162" s="390"/>
      <c r="L162" s="390"/>
      <c r="M162" s="395"/>
      <c r="N162" s="390"/>
      <c r="O162" s="390"/>
      <c r="P162" s="390"/>
      <c r="Q162" s="390"/>
      <c r="R162" s="390"/>
      <c r="S162" s="390"/>
      <c r="T162" s="390"/>
      <c r="U162" s="390"/>
      <c r="V162" s="390"/>
      <c r="W162" s="390"/>
      <c r="X162" s="390"/>
      <c r="Y162" s="390"/>
      <c r="Z162" s="390"/>
      <c r="AA162" s="390"/>
      <c r="AB162" s="390"/>
      <c r="AC162" s="390"/>
      <c r="AD162" s="390"/>
      <c r="AE162" s="390"/>
      <c r="AF162" s="390"/>
      <c r="AG162" s="390"/>
      <c r="AH162" s="390"/>
      <c r="AI162" s="390"/>
      <c r="AJ162" s="390"/>
      <c r="AK162" s="390"/>
      <c r="AL162" s="390"/>
    </row>
    <row r="163" spans="1:38">
      <c r="A163" s="390"/>
      <c r="B163" s="390"/>
      <c r="C163" s="390"/>
      <c r="D163" s="390"/>
      <c r="E163" s="390"/>
      <c r="F163" s="390"/>
      <c r="G163" s="390"/>
      <c r="H163" s="390"/>
      <c r="I163" s="390"/>
      <c r="J163" s="390"/>
      <c r="K163" s="390"/>
      <c r="L163" s="390"/>
      <c r="M163" s="395"/>
      <c r="N163" s="390"/>
      <c r="O163" s="390"/>
      <c r="P163" s="390"/>
      <c r="Q163" s="390"/>
      <c r="R163" s="390"/>
      <c r="S163" s="390"/>
      <c r="T163" s="390"/>
      <c r="U163" s="390"/>
      <c r="V163" s="390"/>
      <c r="W163" s="390"/>
      <c r="X163" s="390"/>
      <c r="Y163" s="390"/>
      <c r="Z163" s="390"/>
      <c r="AA163" s="390"/>
      <c r="AB163" s="390"/>
      <c r="AC163" s="390"/>
      <c r="AD163" s="390"/>
      <c r="AE163" s="390"/>
      <c r="AF163" s="390"/>
      <c r="AG163" s="390"/>
      <c r="AH163" s="390"/>
      <c r="AI163" s="390"/>
      <c r="AJ163" s="390"/>
      <c r="AK163" s="390"/>
      <c r="AL163" s="390"/>
    </row>
    <row r="164" spans="1:38">
      <c r="A164" s="390"/>
      <c r="B164" s="390"/>
      <c r="C164" s="390"/>
      <c r="D164" s="390"/>
      <c r="E164" s="390"/>
      <c r="F164" s="390"/>
      <c r="G164" s="390"/>
      <c r="H164" s="390"/>
      <c r="I164" s="390"/>
      <c r="J164" s="390"/>
      <c r="K164" s="390"/>
      <c r="L164" s="390"/>
      <c r="M164" s="395"/>
      <c r="N164" s="390"/>
      <c r="O164" s="390"/>
      <c r="P164" s="390"/>
      <c r="Q164" s="390"/>
      <c r="R164" s="390"/>
      <c r="S164" s="390"/>
      <c r="T164" s="390"/>
      <c r="U164" s="390"/>
      <c r="V164" s="390"/>
      <c r="W164" s="390"/>
      <c r="X164" s="390"/>
      <c r="Y164" s="390"/>
      <c r="Z164" s="390"/>
      <c r="AA164" s="390"/>
      <c r="AB164" s="390"/>
      <c r="AC164" s="390"/>
      <c r="AD164" s="390"/>
      <c r="AE164" s="390"/>
      <c r="AF164" s="390"/>
      <c r="AG164" s="390"/>
      <c r="AH164" s="390"/>
      <c r="AI164" s="390"/>
      <c r="AJ164" s="390"/>
      <c r="AK164" s="390"/>
      <c r="AL164" s="390"/>
    </row>
    <row r="165" spans="1:38">
      <c r="A165" s="390"/>
      <c r="B165" s="390"/>
      <c r="C165" s="390"/>
      <c r="D165" s="390"/>
      <c r="E165" s="390"/>
      <c r="F165" s="390"/>
      <c r="G165" s="390"/>
      <c r="H165" s="390"/>
      <c r="I165" s="390"/>
      <c r="J165" s="390"/>
      <c r="K165" s="390"/>
      <c r="L165" s="390"/>
      <c r="M165" s="395"/>
      <c r="N165" s="390"/>
      <c r="O165" s="390"/>
      <c r="P165" s="390"/>
      <c r="Q165" s="390"/>
      <c r="R165" s="390"/>
      <c r="S165" s="390"/>
      <c r="T165" s="390"/>
      <c r="U165" s="390"/>
      <c r="V165" s="390"/>
      <c r="W165" s="390"/>
      <c r="X165" s="390"/>
      <c r="Y165" s="390"/>
      <c r="Z165" s="390"/>
      <c r="AA165" s="390"/>
      <c r="AB165" s="390"/>
      <c r="AC165" s="390"/>
      <c r="AD165" s="390"/>
      <c r="AE165" s="390"/>
      <c r="AF165" s="390"/>
      <c r="AG165" s="390"/>
      <c r="AH165" s="390"/>
      <c r="AI165" s="390"/>
      <c r="AJ165" s="390"/>
      <c r="AK165" s="390"/>
      <c r="AL165" s="390"/>
    </row>
    <row r="166" spans="1:38">
      <c r="A166" s="390"/>
      <c r="B166" s="390"/>
      <c r="C166" s="390"/>
      <c r="D166" s="390"/>
      <c r="E166" s="390"/>
      <c r="F166" s="390"/>
      <c r="G166" s="390"/>
      <c r="H166" s="390"/>
      <c r="I166" s="390"/>
      <c r="J166" s="390"/>
      <c r="K166" s="390"/>
      <c r="L166" s="390"/>
      <c r="M166" s="395"/>
      <c r="N166" s="390"/>
      <c r="O166" s="390"/>
      <c r="P166" s="390"/>
      <c r="Q166" s="390"/>
      <c r="R166" s="390"/>
      <c r="S166" s="390"/>
      <c r="T166" s="390"/>
      <c r="U166" s="390"/>
      <c r="V166" s="390"/>
      <c r="W166" s="390"/>
      <c r="X166" s="390"/>
      <c r="Y166" s="390"/>
      <c r="Z166" s="390"/>
      <c r="AA166" s="390"/>
      <c r="AB166" s="390"/>
      <c r="AC166" s="390"/>
      <c r="AD166" s="390"/>
      <c r="AE166" s="390"/>
      <c r="AF166" s="390"/>
      <c r="AG166" s="390"/>
      <c r="AH166" s="390"/>
      <c r="AI166" s="390"/>
      <c r="AJ166" s="390"/>
      <c r="AK166" s="390"/>
      <c r="AL166" s="390"/>
    </row>
    <row r="167" spans="1:38">
      <c r="A167" s="390"/>
      <c r="B167" s="390"/>
      <c r="C167" s="390"/>
      <c r="D167" s="390"/>
      <c r="E167" s="390"/>
      <c r="F167" s="390"/>
      <c r="G167" s="390"/>
      <c r="H167" s="390"/>
      <c r="I167" s="390"/>
      <c r="J167" s="390"/>
      <c r="K167" s="390"/>
      <c r="L167" s="390"/>
      <c r="M167" s="395"/>
      <c r="N167" s="390"/>
      <c r="O167" s="390"/>
      <c r="P167" s="390"/>
      <c r="Q167" s="390"/>
      <c r="R167" s="390"/>
      <c r="S167" s="390"/>
      <c r="T167" s="390"/>
      <c r="U167" s="390"/>
      <c r="V167" s="390"/>
      <c r="W167" s="390"/>
      <c r="X167" s="390"/>
      <c r="Y167" s="390"/>
      <c r="Z167" s="390"/>
      <c r="AA167" s="390"/>
      <c r="AB167" s="390"/>
      <c r="AC167" s="390"/>
      <c r="AD167" s="390"/>
      <c r="AE167" s="390"/>
      <c r="AF167" s="390"/>
      <c r="AG167" s="390"/>
      <c r="AH167" s="390"/>
      <c r="AI167" s="390"/>
      <c r="AJ167" s="390"/>
      <c r="AK167" s="390"/>
      <c r="AL167" s="390"/>
    </row>
    <row r="168" spans="1:38">
      <c r="A168" s="390"/>
      <c r="B168" s="390"/>
      <c r="C168" s="390"/>
      <c r="D168" s="390"/>
      <c r="E168" s="390"/>
      <c r="F168" s="390"/>
      <c r="G168" s="390"/>
      <c r="H168" s="390"/>
      <c r="I168" s="390"/>
      <c r="J168" s="390"/>
      <c r="K168" s="390"/>
      <c r="L168" s="390"/>
      <c r="M168" s="395"/>
      <c r="N168" s="390"/>
      <c r="O168" s="390"/>
      <c r="P168" s="390"/>
      <c r="Q168" s="390"/>
      <c r="R168" s="390"/>
      <c r="S168" s="390"/>
      <c r="T168" s="390"/>
      <c r="U168" s="390"/>
      <c r="V168" s="390"/>
      <c r="W168" s="390"/>
      <c r="X168" s="390"/>
      <c r="Y168" s="390"/>
      <c r="Z168" s="390"/>
      <c r="AA168" s="390"/>
      <c r="AB168" s="390"/>
      <c r="AC168" s="390"/>
      <c r="AD168" s="390"/>
      <c r="AE168" s="390"/>
      <c r="AF168" s="390"/>
      <c r="AG168" s="390"/>
      <c r="AH168" s="390"/>
      <c r="AI168" s="390"/>
      <c r="AJ168" s="390"/>
      <c r="AK168" s="390"/>
      <c r="AL168" s="390"/>
    </row>
    <row r="169" spans="1:38">
      <c r="A169" s="390"/>
      <c r="B169" s="390"/>
      <c r="C169" s="390"/>
      <c r="D169" s="390"/>
      <c r="E169" s="390"/>
      <c r="F169" s="390"/>
      <c r="G169" s="390"/>
      <c r="H169" s="390"/>
      <c r="I169" s="390"/>
      <c r="J169" s="390"/>
      <c r="K169" s="390"/>
      <c r="L169" s="390"/>
      <c r="M169" s="395"/>
      <c r="N169" s="390"/>
      <c r="O169" s="390"/>
      <c r="P169" s="390"/>
      <c r="Q169" s="390"/>
      <c r="R169" s="390"/>
      <c r="S169" s="390"/>
      <c r="T169" s="390"/>
      <c r="U169" s="390"/>
      <c r="V169" s="390"/>
      <c r="W169" s="390"/>
      <c r="X169" s="390"/>
      <c r="Y169" s="390"/>
      <c r="Z169" s="390"/>
      <c r="AA169" s="390"/>
      <c r="AB169" s="390"/>
      <c r="AC169" s="390"/>
      <c r="AD169" s="390"/>
      <c r="AE169" s="390"/>
      <c r="AF169" s="390"/>
      <c r="AG169" s="390"/>
      <c r="AH169" s="390"/>
      <c r="AI169" s="390"/>
      <c r="AJ169" s="390"/>
      <c r="AK169" s="390"/>
      <c r="AL169" s="390"/>
    </row>
    <row r="170" spans="1:38">
      <c r="A170" s="390"/>
      <c r="B170" s="390"/>
      <c r="C170" s="390"/>
      <c r="D170" s="390"/>
      <c r="E170" s="390"/>
      <c r="F170" s="390"/>
      <c r="G170" s="390"/>
      <c r="H170" s="390"/>
      <c r="I170" s="390"/>
      <c r="J170" s="390"/>
      <c r="K170" s="390"/>
      <c r="L170" s="390"/>
      <c r="M170" s="395"/>
      <c r="N170" s="390"/>
      <c r="O170" s="390"/>
      <c r="P170" s="390"/>
      <c r="Q170" s="390"/>
      <c r="R170" s="390"/>
      <c r="S170" s="390"/>
      <c r="T170" s="390"/>
      <c r="U170" s="390"/>
      <c r="V170" s="390"/>
      <c r="W170" s="390"/>
      <c r="X170" s="390"/>
      <c r="Y170" s="390"/>
      <c r="Z170" s="390"/>
      <c r="AA170" s="390"/>
      <c r="AB170" s="390"/>
      <c r="AC170" s="390"/>
      <c r="AD170" s="390"/>
      <c r="AE170" s="390"/>
      <c r="AF170" s="390"/>
      <c r="AG170" s="390"/>
      <c r="AH170" s="390"/>
      <c r="AI170" s="390"/>
      <c r="AJ170" s="390"/>
      <c r="AK170" s="390"/>
      <c r="AL170" s="390"/>
    </row>
    <row r="171" spans="1:38">
      <c r="A171" s="390"/>
      <c r="B171" s="390"/>
      <c r="C171" s="390"/>
      <c r="D171" s="390"/>
      <c r="E171" s="390"/>
      <c r="F171" s="390"/>
      <c r="G171" s="390"/>
      <c r="H171" s="390"/>
      <c r="I171" s="390"/>
      <c r="J171" s="390"/>
      <c r="K171" s="390"/>
      <c r="L171" s="390"/>
      <c r="M171" s="395"/>
      <c r="N171" s="390"/>
      <c r="O171" s="390"/>
      <c r="P171" s="390"/>
      <c r="Q171" s="390"/>
      <c r="R171" s="390"/>
      <c r="S171" s="390"/>
      <c r="T171" s="390"/>
      <c r="U171" s="390"/>
      <c r="V171" s="390"/>
      <c r="W171" s="390"/>
      <c r="X171" s="390"/>
      <c r="Y171" s="390"/>
      <c r="Z171" s="390"/>
      <c r="AA171" s="390"/>
      <c r="AB171" s="390"/>
      <c r="AC171" s="390"/>
      <c r="AD171" s="390"/>
      <c r="AE171" s="390"/>
      <c r="AF171" s="390"/>
      <c r="AG171" s="390"/>
      <c r="AH171" s="390"/>
      <c r="AI171" s="390"/>
      <c r="AJ171" s="390"/>
      <c r="AK171" s="390"/>
      <c r="AL171" s="390"/>
    </row>
    <row r="172" spans="1:38">
      <c r="A172" s="390"/>
      <c r="B172" s="390"/>
      <c r="C172" s="390"/>
      <c r="D172" s="390"/>
      <c r="E172" s="390"/>
      <c r="F172" s="390"/>
      <c r="G172" s="390"/>
      <c r="H172" s="390"/>
      <c r="I172" s="390"/>
      <c r="J172" s="390"/>
      <c r="K172" s="390"/>
      <c r="L172" s="390"/>
      <c r="M172" s="395"/>
      <c r="N172" s="390"/>
      <c r="O172" s="390"/>
      <c r="P172" s="390"/>
      <c r="Q172" s="390"/>
      <c r="R172" s="390"/>
      <c r="S172" s="390"/>
      <c r="T172" s="390"/>
      <c r="U172" s="390"/>
      <c r="V172" s="390"/>
      <c r="W172" s="390"/>
      <c r="X172" s="390"/>
      <c r="Y172" s="390"/>
      <c r="Z172" s="390"/>
      <c r="AA172" s="390"/>
      <c r="AB172" s="390"/>
      <c r="AC172" s="390"/>
      <c r="AD172" s="390"/>
      <c r="AE172" s="390"/>
      <c r="AF172" s="390"/>
      <c r="AG172" s="390"/>
      <c r="AH172" s="390"/>
      <c r="AI172" s="390"/>
      <c r="AJ172" s="390"/>
      <c r="AK172" s="390"/>
      <c r="AL172" s="390"/>
    </row>
    <row r="173" spans="1:38">
      <c r="A173" s="390"/>
      <c r="B173" s="390"/>
      <c r="C173" s="390"/>
      <c r="D173" s="390"/>
      <c r="E173" s="390"/>
      <c r="F173" s="390"/>
      <c r="G173" s="390"/>
      <c r="H173" s="390"/>
      <c r="I173" s="390"/>
      <c r="J173" s="390"/>
      <c r="K173" s="390"/>
      <c r="L173" s="390"/>
      <c r="M173" s="395"/>
      <c r="N173" s="390"/>
      <c r="O173" s="390"/>
      <c r="P173" s="390"/>
      <c r="Q173" s="390"/>
      <c r="R173" s="390"/>
      <c r="S173" s="390"/>
      <c r="T173" s="390"/>
      <c r="U173" s="390"/>
      <c r="V173" s="390"/>
      <c r="W173" s="390"/>
      <c r="X173" s="390"/>
      <c r="Y173" s="390"/>
      <c r="Z173" s="390"/>
      <c r="AA173" s="390"/>
      <c r="AB173" s="390"/>
      <c r="AC173" s="390"/>
      <c r="AD173" s="390"/>
      <c r="AE173" s="390"/>
      <c r="AF173" s="390"/>
      <c r="AG173" s="390"/>
      <c r="AH173" s="390"/>
      <c r="AI173" s="390"/>
      <c r="AJ173" s="390"/>
      <c r="AK173" s="390"/>
      <c r="AL173" s="390"/>
    </row>
    <row r="174" spans="1:38">
      <c r="A174" s="390"/>
      <c r="B174" s="390"/>
      <c r="C174" s="390"/>
      <c r="D174" s="390"/>
      <c r="E174" s="390"/>
      <c r="F174" s="390"/>
      <c r="G174" s="390"/>
      <c r="H174" s="390"/>
      <c r="I174" s="390"/>
      <c r="J174" s="390"/>
      <c r="K174" s="390"/>
      <c r="L174" s="390"/>
      <c r="M174" s="395"/>
      <c r="N174" s="390"/>
      <c r="O174" s="390"/>
      <c r="P174" s="390"/>
      <c r="Q174" s="390"/>
      <c r="R174" s="390"/>
      <c r="S174" s="390"/>
      <c r="T174" s="390"/>
      <c r="U174" s="390"/>
      <c r="V174" s="390"/>
      <c r="W174" s="390"/>
      <c r="X174" s="390"/>
      <c r="Y174" s="390"/>
      <c r="Z174" s="390"/>
      <c r="AA174" s="390"/>
      <c r="AB174" s="390"/>
      <c r="AC174" s="390"/>
      <c r="AD174" s="390"/>
      <c r="AE174" s="390"/>
      <c r="AF174" s="390"/>
      <c r="AG174" s="390"/>
      <c r="AH174" s="390"/>
      <c r="AI174" s="390"/>
      <c r="AJ174" s="390"/>
      <c r="AK174" s="390"/>
      <c r="AL174" s="390"/>
    </row>
    <row r="175" spans="1:38">
      <c r="A175" s="390"/>
      <c r="B175" s="390"/>
      <c r="C175" s="390"/>
      <c r="D175" s="390"/>
      <c r="E175" s="390"/>
      <c r="F175" s="390"/>
      <c r="G175" s="390"/>
      <c r="H175" s="390"/>
      <c r="I175" s="390"/>
      <c r="J175" s="390"/>
      <c r="K175" s="390"/>
      <c r="L175" s="390"/>
      <c r="M175" s="395"/>
      <c r="N175" s="390"/>
      <c r="O175" s="390"/>
      <c r="P175" s="390"/>
      <c r="Q175" s="390"/>
      <c r="R175" s="390"/>
      <c r="S175" s="390"/>
      <c r="T175" s="390"/>
      <c r="U175" s="390"/>
      <c r="V175" s="390"/>
      <c r="W175" s="390"/>
      <c r="X175" s="390"/>
      <c r="Y175" s="390"/>
      <c r="Z175" s="390"/>
      <c r="AA175" s="390"/>
      <c r="AB175" s="390"/>
      <c r="AC175" s="390"/>
      <c r="AD175" s="390"/>
      <c r="AE175" s="390"/>
      <c r="AF175" s="390"/>
      <c r="AG175" s="390"/>
      <c r="AH175" s="390"/>
      <c r="AI175" s="390"/>
      <c r="AJ175" s="390"/>
      <c r="AK175" s="390"/>
      <c r="AL175" s="390"/>
    </row>
    <row r="176" spans="1:38">
      <c r="A176" s="390"/>
      <c r="B176" s="390"/>
      <c r="C176" s="390"/>
      <c r="D176" s="390"/>
      <c r="E176" s="390"/>
      <c r="F176" s="390"/>
      <c r="G176" s="390"/>
      <c r="H176" s="390"/>
      <c r="I176" s="390"/>
      <c r="J176" s="390"/>
      <c r="K176" s="390"/>
      <c r="L176" s="390"/>
      <c r="M176" s="395"/>
      <c r="N176" s="390"/>
      <c r="O176" s="390"/>
      <c r="P176" s="390"/>
      <c r="Q176" s="390"/>
      <c r="R176" s="390"/>
      <c r="S176" s="390"/>
      <c r="T176" s="390"/>
      <c r="U176" s="390"/>
      <c r="V176" s="390"/>
      <c r="W176" s="390"/>
      <c r="X176" s="390"/>
      <c r="Y176" s="390"/>
      <c r="Z176" s="390"/>
      <c r="AA176" s="390"/>
      <c r="AB176" s="390"/>
      <c r="AC176" s="390"/>
      <c r="AD176" s="390"/>
      <c r="AE176" s="390"/>
      <c r="AF176" s="390"/>
      <c r="AG176" s="390"/>
      <c r="AH176" s="390"/>
      <c r="AI176" s="390"/>
      <c r="AJ176" s="390"/>
      <c r="AK176" s="390"/>
      <c r="AL176" s="390"/>
    </row>
    <row r="177" spans="1:38">
      <c r="A177" s="390"/>
      <c r="B177" s="390"/>
      <c r="C177" s="390"/>
      <c r="D177" s="390"/>
      <c r="E177" s="390"/>
      <c r="F177" s="390"/>
      <c r="G177" s="390"/>
      <c r="H177" s="390"/>
      <c r="I177" s="390"/>
      <c r="J177" s="390"/>
      <c r="K177" s="390"/>
      <c r="L177" s="390"/>
      <c r="M177" s="395"/>
      <c r="N177" s="390"/>
      <c r="O177" s="390"/>
      <c r="P177" s="390"/>
      <c r="Q177" s="390"/>
      <c r="R177" s="390"/>
      <c r="S177" s="390"/>
      <c r="T177" s="390"/>
      <c r="U177" s="390"/>
      <c r="V177" s="390"/>
      <c r="W177" s="390"/>
      <c r="X177" s="390"/>
      <c r="Y177" s="390"/>
      <c r="Z177" s="390"/>
      <c r="AA177" s="390"/>
      <c r="AB177" s="390"/>
      <c r="AC177" s="390"/>
      <c r="AD177" s="390"/>
      <c r="AE177" s="390"/>
      <c r="AF177" s="390"/>
      <c r="AG177" s="390"/>
      <c r="AH177" s="390"/>
      <c r="AI177" s="390"/>
      <c r="AJ177" s="390"/>
      <c r="AK177" s="390"/>
      <c r="AL177" s="390"/>
    </row>
    <row r="178" spans="1:38">
      <c r="A178" s="390"/>
      <c r="B178" s="390"/>
      <c r="C178" s="390"/>
      <c r="D178" s="390"/>
      <c r="E178" s="390"/>
      <c r="F178" s="390"/>
      <c r="G178" s="390"/>
      <c r="H178" s="390"/>
      <c r="I178" s="390"/>
      <c r="J178" s="390"/>
      <c r="K178" s="390"/>
      <c r="L178" s="390"/>
      <c r="M178" s="395"/>
      <c r="N178" s="390"/>
      <c r="O178" s="390"/>
      <c r="P178" s="390"/>
      <c r="Q178" s="390"/>
      <c r="R178" s="390"/>
      <c r="S178" s="390"/>
      <c r="T178" s="390"/>
      <c r="U178" s="390"/>
      <c r="V178" s="390"/>
      <c r="W178" s="390"/>
      <c r="X178" s="390"/>
      <c r="Y178" s="390"/>
      <c r="Z178" s="390"/>
      <c r="AA178" s="390"/>
      <c r="AB178" s="390"/>
      <c r="AC178" s="390"/>
      <c r="AD178" s="390"/>
      <c r="AE178" s="390"/>
      <c r="AF178" s="390"/>
      <c r="AG178" s="390"/>
      <c r="AH178" s="390"/>
      <c r="AI178" s="390"/>
      <c r="AJ178" s="390"/>
      <c r="AK178" s="390"/>
      <c r="AL178" s="390"/>
    </row>
    <row r="179" spans="1:38">
      <c r="A179" s="390"/>
      <c r="B179" s="390"/>
      <c r="C179" s="390"/>
      <c r="D179" s="390"/>
      <c r="E179" s="390"/>
      <c r="F179" s="390"/>
      <c r="G179" s="390"/>
      <c r="H179" s="390"/>
      <c r="I179" s="390"/>
      <c r="J179" s="390"/>
      <c r="K179" s="390"/>
      <c r="L179" s="390"/>
      <c r="M179" s="395"/>
      <c r="N179" s="390"/>
      <c r="O179" s="390"/>
      <c r="P179" s="390"/>
      <c r="Q179" s="390"/>
      <c r="R179" s="390"/>
      <c r="S179" s="390"/>
      <c r="T179" s="390"/>
      <c r="U179" s="390"/>
      <c r="V179" s="390"/>
      <c r="W179" s="390"/>
      <c r="X179" s="390"/>
      <c r="Y179" s="390"/>
      <c r="Z179" s="390"/>
      <c r="AA179" s="390"/>
      <c r="AB179" s="390"/>
      <c r="AC179" s="390"/>
      <c r="AD179" s="390"/>
      <c r="AE179" s="390"/>
      <c r="AF179" s="390"/>
      <c r="AG179" s="390"/>
      <c r="AH179" s="390"/>
      <c r="AI179" s="390"/>
      <c r="AJ179" s="390"/>
      <c r="AK179" s="390"/>
      <c r="AL179" s="390"/>
    </row>
    <row r="180" spans="1:38">
      <c r="A180" s="390"/>
      <c r="B180" s="390"/>
      <c r="C180" s="390"/>
      <c r="D180" s="390"/>
      <c r="E180" s="390"/>
      <c r="F180" s="390"/>
      <c r="G180" s="390"/>
      <c r="H180" s="390"/>
      <c r="I180" s="390"/>
      <c r="J180" s="390"/>
      <c r="K180" s="390"/>
      <c r="L180" s="390"/>
      <c r="M180" s="395"/>
      <c r="N180" s="390"/>
      <c r="O180" s="390"/>
      <c r="P180" s="390"/>
      <c r="Q180" s="390"/>
      <c r="R180" s="390"/>
      <c r="S180" s="390"/>
      <c r="T180" s="390"/>
      <c r="U180" s="390"/>
      <c r="V180" s="390"/>
      <c r="W180" s="390"/>
      <c r="X180" s="390"/>
      <c r="Y180" s="390"/>
      <c r="Z180" s="390"/>
      <c r="AA180" s="390"/>
      <c r="AB180" s="390"/>
      <c r="AC180" s="390"/>
      <c r="AD180" s="390"/>
      <c r="AE180" s="390"/>
      <c r="AF180" s="390"/>
      <c r="AG180" s="390"/>
      <c r="AH180" s="390"/>
      <c r="AI180" s="390"/>
      <c r="AJ180" s="390"/>
      <c r="AK180" s="390"/>
      <c r="AL180" s="390"/>
    </row>
    <row r="181" spans="1:38">
      <c r="A181" s="390"/>
      <c r="B181" s="390"/>
      <c r="C181" s="390"/>
      <c r="D181" s="390"/>
      <c r="E181" s="390"/>
      <c r="F181" s="390"/>
      <c r="G181" s="390"/>
      <c r="H181" s="390"/>
      <c r="I181" s="390"/>
      <c r="J181" s="390"/>
      <c r="K181" s="390"/>
      <c r="L181" s="390"/>
      <c r="M181" s="395"/>
      <c r="N181" s="390"/>
      <c r="O181" s="390"/>
      <c r="P181" s="390"/>
      <c r="Q181" s="390"/>
      <c r="R181" s="390"/>
      <c r="S181" s="390"/>
      <c r="T181" s="390"/>
      <c r="U181" s="390"/>
      <c r="V181" s="390"/>
      <c r="W181" s="390"/>
      <c r="X181" s="390"/>
      <c r="Y181" s="390"/>
      <c r="Z181" s="390"/>
      <c r="AA181" s="390"/>
      <c r="AB181" s="390"/>
      <c r="AC181" s="390"/>
      <c r="AD181" s="390"/>
      <c r="AE181" s="390"/>
      <c r="AF181" s="390"/>
      <c r="AG181" s="390"/>
      <c r="AH181" s="390"/>
      <c r="AI181" s="390"/>
      <c r="AJ181" s="390"/>
      <c r="AK181" s="390"/>
      <c r="AL181" s="390"/>
    </row>
    <row r="182" spans="1:38">
      <c r="A182" s="390"/>
      <c r="B182" s="390"/>
      <c r="C182" s="390"/>
      <c r="D182" s="390"/>
      <c r="E182" s="390"/>
      <c r="F182" s="390"/>
      <c r="G182" s="390"/>
      <c r="H182" s="390"/>
      <c r="I182" s="390"/>
      <c r="J182" s="390"/>
      <c r="K182" s="390"/>
      <c r="L182" s="390"/>
      <c r="M182" s="395"/>
      <c r="N182" s="390"/>
      <c r="O182" s="390"/>
      <c r="P182" s="390"/>
      <c r="Q182" s="390"/>
      <c r="R182" s="390"/>
      <c r="S182" s="390"/>
      <c r="T182" s="390"/>
      <c r="U182" s="390"/>
      <c r="V182" s="390"/>
      <c r="W182" s="390"/>
      <c r="X182" s="390"/>
      <c r="Y182" s="390"/>
      <c r="Z182" s="390"/>
      <c r="AA182" s="390"/>
      <c r="AB182" s="390"/>
      <c r="AC182" s="390"/>
      <c r="AD182" s="390"/>
      <c r="AE182" s="390"/>
      <c r="AF182" s="390"/>
      <c r="AG182" s="390"/>
      <c r="AH182" s="390"/>
      <c r="AI182" s="390"/>
      <c r="AJ182" s="390"/>
      <c r="AK182" s="390"/>
      <c r="AL182" s="390"/>
    </row>
    <row r="183" spans="1:38">
      <c r="A183" s="390"/>
      <c r="B183" s="390"/>
      <c r="C183" s="390"/>
      <c r="D183" s="390"/>
      <c r="E183" s="390"/>
      <c r="F183" s="390"/>
      <c r="G183" s="390"/>
      <c r="H183" s="390"/>
      <c r="I183" s="390"/>
      <c r="J183" s="390"/>
      <c r="K183" s="390"/>
      <c r="L183" s="390"/>
      <c r="M183" s="395"/>
      <c r="N183" s="390"/>
      <c r="O183" s="390"/>
      <c r="P183" s="390"/>
      <c r="Q183" s="390"/>
      <c r="R183" s="390"/>
      <c r="S183" s="390"/>
      <c r="T183" s="390"/>
      <c r="U183" s="390"/>
      <c r="V183" s="390"/>
      <c r="W183" s="390"/>
      <c r="X183" s="390"/>
      <c r="Y183" s="390"/>
      <c r="Z183" s="390"/>
      <c r="AA183" s="390"/>
      <c r="AB183" s="390"/>
      <c r="AC183" s="390"/>
      <c r="AD183" s="390"/>
      <c r="AE183" s="390"/>
      <c r="AF183" s="390"/>
      <c r="AG183" s="390"/>
      <c r="AH183" s="390"/>
      <c r="AI183" s="390"/>
      <c r="AJ183" s="390"/>
      <c r="AK183" s="390"/>
      <c r="AL183" s="390"/>
    </row>
    <row r="184" spans="1:38">
      <c r="A184" s="390"/>
      <c r="B184" s="390"/>
      <c r="C184" s="390"/>
      <c r="D184" s="390"/>
      <c r="E184" s="390"/>
      <c r="F184" s="390"/>
      <c r="G184" s="390"/>
      <c r="H184" s="390"/>
      <c r="I184" s="390"/>
      <c r="J184" s="390"/>
      <c r="K184" s="390"/>
      <c r="L184" s="390"/>
      <c r="M184" s="395"/>
      <c r="N184" s="390"/>
      <c r="O184" s="390"/>
      <c r="P184" s="390"/>
      <c r="Q184" s="390"/>
      <c r="R184" s="390"/>
      <c r="S184" s="390"/>
      <c r="T184" s="390"/>
      <c r="U184" s="390"/>
      <c r="V184" s="390"/>
      <c r="W184" s="390"/>
      <c r="X184" s="390"/>
      <c r="Y184" s="390"/>
      <c r="Z184" s="390"/>
      <c r="AA184" s="390"/>
      <c r="AB184" s="390"/>
      <c r="AC184" s="390"/>
      <c r="AD184" s="390"/>
      <c r="AE184" s="390"/>
      <c r="AF184" s="390"/>
      <c r="AG184" s="390"/>
      <c r="AH184" s="390"/>
      <c r="AI184" s="390"/>
      <c r="AJ184" s="390"/>
      <c r="AK184" s="390"/>
      <c r="AL184" s="390"/>
    </row>
    <row r="185" spans="1:38">
      <c r="A185" s="390"/>
      <c r="B185" s="390"/>
      <c r="C185" s="390"/>
      <c r="D185" s="390"/>
      <c r="E185" s="390"/>
      <c r="F185" s="390"/>
      <c r="G185" s="390"/>
      <c r="H185" s="390"/>
      <c r="I185" s="390"/>
      <c r="J185" s="390"/>
      <c r="K185" s="390"/>
      <c r="L185" s="390"/>
      <c r="M185" s="395"/>
      <c r="N185" s="390"/>
      <c r="O185" s="390"/>
      <c r="P185" s="390"/>
      <c r="Q185" s="390"/>
      <c r="R185" s="390"/>
      <c r="S185" s="390"/>
      <c r="T185" s="390"/>
      <c r="U185" s="390"/>
      <c r="V185" s="390"/>
      <c r="W185" s="390"/>
      <c r="X185" s="390"/>
      <c r="Y185" s="390"/>
      <c r="Z185" s="390"/>
      <c r="AA185" s="390"/>
      <c r="AB185" s="390"/>
      <c r="AC185" s="390"/>
      <c r="AD185" s="390"/>
      <c r="AE185" s="390"/>
      <c r="AF185" s="390"/>
      <c r="AG185" s="390"/>
      <c r="AH185" s="390"/>
      <c r="AI185" s="390"/>
      <c r="AJ185" s="390"/>
      <c r="AK185" s="390"/>
      <c r="AL185" s="390"/>
    </row>
    <row r="186" spans="1:38">
      <c r="A186" s="390"/>
      <c r="B186" s="390"/>
      <c r="C186" s="390"/>
      <c r="D186" s="390"/>
      <c r="E186" s="390"/>
      <c r="F186" s="390"/>
      <c r="G186" s="390"/>
      <c r="H186" s="390"/>
      <c r="I186" s="390"/>
      <c r="J186" s="390"/>
      <c r="K186" s="390"/>
      <c r="L186" s="390"/>
      <c r="M186" s="395"/>
      <c r="N186" s="390"/>
      <c r="O186" s="390"/>
      <c r="P186" s="390"/>
      <c r="Q186" s="390"/>
      <c r="R186" s="390"/>
      <c r="S186" s="390"/>
      <c r="T186" s="390"/>
      <c r="U186" s="390"/>
      <c r="V186" s="390"/>
      <c r="W186" s="390"/>
      <c r="X186" s="390"/>
      <c r="Y186" s="390"/>
      <c r="Z186" s="390"/>
      <c r="AA186" s="390"/>
      <c r="AB186" s="390"/>
      <c r="AC186" s="390"/>
      <c r="AD186" s="390"/>
      <c r="AE186" s="390"/>
      <c r="AF186" s="390"/>
      <c r="AG186" s="390"/>
      <c r="AH186" s="390"/>
      <c r="AI186" s="390"/>
      <c r="AJ186" s="390"/>
      <c r="AK186" s="390"/>
      <c r="AL186" s="390"/>
    </row>
    <row r="187" spans="1:38">
      <c r="A187" s="390"/>
      <c r="B187" s="390"/>
      <c r="C187" s="390"/>
      <c r="D187" s="390"/>
      <c r="E187" s="390"/>
      <c r="F187" s="390"/>
      <c r="G187" s="390"/>
      <c r="H187" s="390"/>
      <c r="I187" s="390"/>
      <c r="J187" s="390"/>
      <c r="K187" s="390"/>
      <c r="L187" s="390"/>
      <c r="M187" s="395"/>
      <c r="N187" s="390"/>
      <c r="O187" s="390"/>
      <c r="P187" s="390"/>
      <c r="Q187" s="390"/>
      <c r="R187" s="390"/>
      <c r="S187" s="390"/>
      <c r="T187" s="390"/>
      <c r="U187" s="390"/>
      <c r="V187" s="390"/>
      <c r="W187" s="390"/>
      <c r="X187" s="390"/>
      <c r="Y187" s="390"/>
      <c r="Z187" s="390"/>
      <c r="AA187" s="390"/>
      <c r="AB187" s="390"/>
      <c r="AC187" s="390"/>
      <c r="AD187" s="390"/>
      <c r="AE187" s="390"/>
      <c r="AF187" s="390"/>
      <c r="AG187" s="390"/>
      <c r="AH187" s="390"/>
      <c r="AI187" s="390"/>
      <c r="AJ187" s="390"/>
      <c r="AK187" s="390"/>
      <c r="AL187" s="390"/>
    </row>
    <row r="188" spans="1:38">
      <c r="A188" s="390"/>
      <c r="B188" s="390"/>
      <c r="C188" s="390"/>
      <c r="D188" s="390"/>
      <c r="E188" s="390"/>
      <c r="F188" s="390"/>
      <c r="G188" s="390"/>
      <c r="H188" s="390"/>
      <c r="I188" s="390"/>
      <c r="J188" s="390"/>
      <c r="K188" s="390"/>
      <c r="L188" s="390"/>
      <c r="M188" s="395"/>
      <c r="N188" s="390"/>
      <c r="O188" s="390"/>
      <c r="P188" s="390"/>
      <c r="Q188" s="390"/>
      <c r="R188" s="390"/>
      <c r="S188" s="390"/>
      <c r="T188" s="390"/>
      <c r="U188" s="390"/>
      <c r="V188" s="390"/>
      <c r="W188" s="390"/>
      <c r="X188" s="390"/>
      <c r="Y188" s="390"/>
      <c r="Z188" s="390"/>
      <c r="AA188" s="390"/>
      <c r="AB188" s="390"/>
      <c r="AC188" s="390"/>
      <c r="AD188" s="390"/>
      <c r="AE188" s="390"/>
      <c r="AF188" s="390"/>
      <c r="AG188" s="390"/>
      <c r="AH188" s="390"/>
      <c r="AI188" s="390"/>
      <c r="AJ188" s="390"/>
      <c r="AK188" s="390"/>
      <c r="AL188" s="390"/>
    </row>
    <row r="189" spans="1:38">
      <c r="A189" s="390"/>
      <c r="B189" s="390"/>
      <c r="C189" s="390"/>
      <c r="D189" s="390"/>
      <c r="E189" s="390"/>
      <c r="F189" s="390"/>
      <c r="G189" s="390"/>
      <c r="H189" s="390"/>
      <c r="I189" s="390"/>
      <c r="J189" s="390"/>
      <c r="K189" s="390"/>
      <c r="L189" s="390"/>
      <c r="M189" s="395"/>
      <c r="N189" s="390"/>
      <c r="O189" s="390"/>
      <c r="P189" s="390"/>
      <c r="Q189" s="390"/>
      <c r="R189" s="390"/>
      <c r="S189" s="390"/>
      <c r="T189" s="390"/>
      <c r="U189" s="390"/>
      <c r="V189" s="390"/>
      <c r="W189" s="390"/>
      <c r="X189" s="390"/>
      <c r="Y189" s="390"/>
      <c r="Z189" s="390"/>
      <c r="AA189" s="390"/>
      <c r="AB189" s="390"/>
      <c r="AC189" s="390"/>
      <c r="AD189" s="390"/>
      <c r="AE189" s="390"/>
      <c r="AF189" s="390"/>
      <c r="AG189" s="390"/>
      <c r="AH189" s="390"/>
      <c r="AI189" s="390"/>
      <c r="AJ189" s="390"/>
      <c r="AK189" s="390"/>
      <c r="AL189" s="390"/>
    </row>
    <row r="190" spans="1:38">
      <c r="A190" s="390"/>
      <c r="B190" s="390"/>
      <c r="C190" s="390"/>
      <c r="D190" s="390"/>
      <c r="E190" s="390"/>
      <c r="F190" s="390"/>
      <c r="G190" s="390"/>
      <c r="H190" s="390"/>
      <c r="I190" s="390"/>
      <c r="J190" s="390"/>
      <c r="K190" s="390"/>
      <c r="L190" s="390"/>
      <c r="M190" s="395"/>
      <c r="N190" s="390"/>
      <c r="O190" s="390"/>
      <c r="P190" s="390"/>
      <c r="Q190" s="390"/>
      <c r="R190" s="390"/>
      <c r="S190" s="390"/>
      <c r="T190" s="390"/>
      <c r="U190" s="390"/>
      <c r="V190" s="390"/>
      <c r="W190" s="390"/>
      <c r="X190" s="390"/>
      <c r="Y190" s="390"/>
      <c r="Z190" s="390"/>
      <c r="AA190" s="390"/>
      <c r="AB190" s="390"/>
      <c r="AC190" s="390"/>
      <c r="AD190" s="390"/>
      <c r="AE190" s="390"/>
      <c r="AF190" s="390"/>
      <c r="AG190" s="390"/>
      <c r="AH190" s="390"/>
      <c r="AI190" s="390"/>
      <c r="AJ190" s="390"/>
      <c r="AK190" s="390"/>
      <c r="AL190" s="390"/>
    </row>
    <row r="191" spans="1:38">
      <c r="A191" s="390"/>
      <c r="B191" s="390"/>
      <c r="C191" s="390"/>
      <c r="D191" s="390"/>
      <c r="E191" s="390"/>
      <c r="F191" s="390"/>
      <c r="G191" s="390"/>
      <c r="H191" s="390"/>
      <c r="I191" s="390"/>
      <c r="J191" s="390"/>
      <c r="K191" s="390"/>
      <c r="L191" s="390"/>
      <c r="M191" s="395"/>
      <c r="N191" s="390"/>
      <c r="O191" s="390"/>
      <c r="P191" s="390"/>
      <c r="Q191" s="390"/>
      <c r="R191" s="390"/>
      <c r="S191" s="390"/>
      <c r="T191" s="390"/>
      <c r="U191" s="390"/>
      <c r="V191" s="390"/>
      <c r="W191" s="390"/>
      <c r="X191" s="390"/>
      <c r="Y191" s="390"/>
      <c r="Z191" s="390"/>
      <c r="AA191" s="390"/>
      <c r="AB191" s="390"/>
      <c r="AC191" s="390"/>
      <c r="AD191" s="390"/>
      <c r="AE191" s="390"/>
      <c r="AF191" s="390"/>
      <c r="AG191" s="390"/>
      <c r="AH191" s="390"/>
      <c r="AI191" s="390"/>
      <c r="AJ191" s="390"/>
      <c r="AK191" s="390"/>
      <c r="AL191" s="390"/>
    </row>
  </sheetData>
  <mergeCells count="8">
    <mergeCell ref="D33:I37"/>
    <mergeCell ref="D5:I5"/>
    <mergeCell ref="D14:H14"/>
    <mergeCell ref="D19:H19"/>
    <mergeCell ref="D24:H24"/>
    <mergeCell ref="D9:I9"/>
    <mergeCell ref="D30:H30"/>
    <mergeCell ref="D31:H31"/>
  </mergeCells>
  <dataValidations count="1">
    <dataValidation type="list" allowBlank="1" showInputMessage="1" showErrorMessage="1" sqref="D30:H30" xr:uid="{A37BB430-F76B-4C94-A25C-5724E07295CD}">
      <formula1>$N$31:$N$33</formula1>
    </dataValidation>
  </dataValidations>
  <pageMargins left="0.7" right="0.7" top="0.78740157499999996" bottom="0.78740157499999996" header="0.3" footer="0.3"/>
  <pageSetup paperSize="9" orientation="portrait" horizontalDpi="30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5"/>
  <dimension ref="B1:E12"/>
  <sheetViews>
    <sheetView zoomScale="90" zoomScaleNormal="90" workbookViewId="0">
      <pane ySplit="1" topLeftCell="A2" activePane="bottomLeft" state="frozen"/>
      <selection pane="bottomLeft" activeCell="D28" sqref="D28"/>
    </sheetView>
  </sheetViews>
  <sheetFormatPr baseColWidth="10" defaultColWidth="11.42578125" defaultRowHeight="15"/>
  <cols>
    <col min="1" max="1" width="11.42578125" style="400"/>
    <col min="2" max="2" width="1.42578125" style="400" customWidth="1"/>
    <col min="3" max="3" width="44.42578125" style="400" customWidth="1"/>
    <col min="4" max="4" width="23" style="400" customWidth="1"/>
    <col min="5" max="5" width="1.42578125" style="400" customWidth="1"/>
    <col min="6" max="6" width="4.28515625" style="400" customWidth="1"/>
    <col min="7" max="16384" width="11.42578125" style="400"/>
  </cols>
  <sheetData>
    <row r="1" spans="2:5" s="119" customFormat="1" ht="21.75" customHeight="1">
      <c r="B1" s="120" t="s">
        <v>1</v>
      </c>
    </row>
    <row r="2" spans="2:5" ht="15.75" thickBot="1">
      <c r="D2" s="415"/>
    </row>
    <row r="3" spans="2:5" ht="7.5" customHeight="1" thickTop="1" thickBot="1">
      <c r="B3" s="419"/>
      <c r="C3" s="420"/>
      <c r="D3" s="420"/>
      <c r="E3" s="425"/>
    </row>
    <row r="4" spans="2:5" ht="16.5" thickTop="1" thickBot="1">
      <c r="B4" s="421"/>
      <c r="C4" s="428" t="s">
        <v>2</v>
      </c>
      <c r="D4" s="416"/>
      <c r="E4" s="426"/>
    </row>
    <row r="5" spans="2:5" ht="16.5" thickTop="1" thickBot="1">
      <c r="B5" s="421"/>
      <c r="C5" s="428" t="s">
        <v>3</v>
      </c>
      <c r="D5" s="417"/>
      <c r="E5" s="426"/>
    </row>
    <row r="6" spans="2:5" ht="30" customHeight="1" thickTop="1" thickBot="1">
      <c r="B6" s="421"/>
      <c r="C6" s="429" t="s">
        <v>4</v>
      </c>
      <c r="D6" s="422"/>
      <c r="E6" s="426"/>
    </row>
    <row r="7" spans="2:5" ht="16.5" thickTop="1" thickBot="1">
      <c r="B7" s="421"/>
      <c r="C7" s="428" t="s">
        <v>5</v>
      </c>
      <c r="D7" s="417"/>
      <c r="E7" s="426"/>
    </row>
    <row r="8" spans="2:5" ht="16.5" thickTop="1" thickBot="1">
      <c r="B8" s="421"/>
      <c r="C8" s="428" t="s">
        <v>6</v>
      </c>
      <c r="D8" s="417"/>
      <c r="E8" s="426"/>
    </row>
    <row r="9" spans="2:5" ht="16.5" thickTop="1" thickBot="1">
      <c r="B9" s="421"/>
      <c r="C9" s="428"/>
      <c r="D9" s="422"/>
      <c r="E9" s="426"/>
    </row>
    <row r="10" spans="2:5" ht="16.5" thickTop="1" thickBot="1">
      <c r="B10" s="421"/>
      <c r="C10" s="428" t="s">
        <v>7</v>
      </c>
      <c r="D10" s="418"/>
      <c r="E10" s="426"/>
    </row>
    <row r="11" spans="2:5" ht="7.5" customHeight="1" thickTop="1" thickBot="1">
      <c r="B11" s="423"/>
      <c r="C11" s="424"/>
      <c r="D11" s="424"/>
      <c r="E11" s="427"/>
    </row>
    <row r="12" spans="2:5" ht="15.75" thickTop="1"/>
  </sheetData>
  <pageMargins left="0.7" right="0.7" top="0.78740157499999996" bottom="0.78740157499999996" header="0.3" footer="0.3"/>
  <pageSetup paperSize="9" orientation="portrait" horizont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B7627-EEB5-4E68-AA5B-566EA5B90A7A}">
  <dimension ref="A1:S48"/>
  <sheetViews>
    <sheetView zoomScale="90" zoomScaleNormal="90" workbookViewId="0">
      <selection activeCell="B6" sqref="B6:B11"/>
    </sheetView>
  </sheetViews>
  <sheetFormatPr baseColWidth="10" defaultRowHeight="15"/>
  <cols>
    <col min="2" max="2" width="25.7109375" customWidth="1"/>
    <col min="3" max="3" width="44" customWidth="1"/>
    <col min="4" max="4" width="5.42578125" customWidth="1"/>
    <col min="5" max="5" width="25.7109375" customWidth="1"/>
    <col min="6" max="6" width="44" customWidth="1"/>
  </cols>
  <sheetData>
    <row r="1" spans="1:19" s="119" customFormat="1" ht="21.75" customHeight="1">
      <c r="B1" s="120" t="s">
        <v>485</v>
      </c>
    </row>
    <row r="2" spans="1:19">
      <c r="A2" s="400"/>
      <c r="B2" s="400"/>
      <c r="C2" s="400"/>
      <c r="D2" s="400"/>
      <c r="E2" s="400"/>
      <c r="F2" s="400"/>
      <c r="G2" s="400"/>
      <c r="H2" s="400"/>
      <c r="I2" s="400"/>
      <c r="J2" s="400"/>
      <c r="K2" s="400"/>
      <c r="L2" s="400"/>
      <c r="M2" s="400"/>
      <c r="N2" s="400"/>
      <c r="O2" s="400"/>
      <c r="P2" s="400"/>
      <c r="Q2" s="400"/>
      <c r="R2" s="400"/>
      <c r="S2" s="400"/>
    </row>
    <row r="3" spans="1:19">
      <c r="A3" s="400"/>
      <c r="B3" s="390" t="s">
        <v>486</v>
      </c>
      <c r="C3" s="390"/>
      <c r="D3" s="390"/>
      <c r="E3" s="400"/>
      <c r="F3" s="400"/>
      <c r="G3" s="400"/>
      <c r="H3" s="400"/>
      <c r="I3" s="400"/>
      <c r="J3" s="400"/>
      <c r="K3" s="400"/>
      <c r="L3" s="400"/>
      <c r="M3" s="400"/>
      <c r="N3" s="400"/>
      <c r="O3" s="400"/>
      <c r="P3" s="400"/>
      <c r="Q3" s="400"/>
      <c r="R3" s="400"/>
      <c r="S3" s="400"/>
    </row>
    <row r="4" spans="1:19">
      <c r="A4" s="400"/>
      <c r="B4" s="390" t="s">
        <v>487</v>
      </c>
      <c r="C4" s="390"/>
      <c r="D4" s="390"/>
      <c r="E4" s="400"/>
      <c r="F4" s="400"/>
      <c r="G4" s="400"/>
      <c r="H4" s="400"/>
      <c r="I4" s="400"/>
      <c r="J4" s="400"/>
      <c r="K4" s="400"/>
      <c r="L4" s="400"/>
      <c r="M4" s="400"/>
      <c r="N4" s="400"/>
      <c r="O4" s="400"/>
      <c r="P4" s="400"/>
      <c r="Q4" s="400"/>
      <c r="R4" s="400"/>
      <c r="S4" s="400"/>
    </row>
    <row r="5" spans="1:19">
      <c r="A5" s="400"/>
      <c r="B5" s="400"/>
      <c r="C5" s="400"/>
      <c r="D5" s="400"/>
      <c r="E5" s="400"/>
      <c r="F5" s="400"/>
      <c r="G5" s="400"/>
      <c r="H5" s="400"/>
      <c r="I5" s="400"/>
      <c r="J5" s="400"/>
      <c r="K5" s="400"/>
      <c r="L5" s="400"/>
      <c r="M5" s="400"/>
      <c r="N5" s="400"/>
      <c r="O5" s="400"/>
      <c r="P5" s="400"/>
      <c r="Q5" s="400"/>
      <c r="R5" s="400"/>
      <c r="S5" s="400"/>
    </row>
    <row r="6" spans="1:19">
      <c r="A6" s="400"/>
      <c r="B6" s="440" t="s">
        <v>9</v>
      </c>
      <c r="C6" s="396" t="s">
        <v>418</v>
      </c>
      <c r="D6" s="400"/>
      <c r="E6" s="443" t="s">
        <v>219</v>
      </c>
      <c r="F6" s="396" t="s">
        <v>433</v>
      </c>
      <c r="G6" s="400"/>
      <c r="H6" s="400"/>
      <c r="I6" s="400"/>
      <c r="J6" s="400"/>
      <c r="K6" s="400"/>
      <c r="L6" s="400"/>
      <c r="M6" s="400"/>
      <c r="N6" s="400"/>
      <c r="O6" s="400"/>
      <c r="P6" s="400"/>
      <c r="Q6" s="400"/>
      <c r="R6" s="400"/>
      <c r="S6" s="400"/>
    </row>
    <row r="7" spans="1:19">
      <c r="A7" s="400"/>
      <c r="B7" s="441"/>
      <c r="C7" s="397" t="s">
        <v>419</v>
      </c>
      <c r="D7" s="400"/>
      <c r="E7" s="444"/>
      <c r="F7" s="397" t="s">
        <v>434</v>
      </c>
      <c r="G7" s="400"/>
      <c r="H7" s="400"/>
      <c r="I7" s="400"/>
      <c r="J7" s="400"/>
      <c r="K7" s="400"/>
      <c r="L7" s="400"/>
      <c r="M7" s="400"/>
      <c r="N7" s="400"/>
      <c r="O7" s="400"/>
      <c r="P7" s="400"/>
      <c r="Q7" s="400"/>
      <c r="R7" s="400"/>
      <c r="S7" s="400"/>
    </row>
    <row r="8" spans="1:19">
      <c r="A8" s="400"/>
      <c r="B8" s="441"/>
      <c r="C8" s="397" t="s">
        <v>420</v>
      </c>
      <c r="D8" s="400"/>
      <c r="E8" s="444"/>
      <c r="F8" s="397" t="s">
        <v>435</v>
      </c>
      <c r="G8" s="400"/>
      <c r="H8" s="400"/>
      <c r="I8" s="400"/>
      <c r="J8" s="400"/>
      <c r="K8" s="400"/>
      <c r="L8" s="400"/>
      <c r="M8" s="400"/>
      <c r="N8" s="400"/>
      <c r="O8" s="400"/>
      <c r="P8" s="400"/>
      <c r="Q8" s="400"/>
      <c r="R8" s="400"/>
      <c r="S8" s="400"/>
    </row>
    <row r="9" spans="1:19">
      <c r="A9" s="400"/>
      <c r="B9" s="441"/>
      <c r="C9" s="397" t="s">
        <v>421</v>
      </c>
      <c r="D9" s="400"/>
      <c r="E9" s="444"/>
      <c r="F9" s="397" t="s">
        <v>436</v>
      </c>
      <c r="G9" s="400"/>
      <c r="H9" s="400"/>
      <c r="I9" s="400"/>
      <c r="J9" s="400"/>
      <c r="K9" s="400"/>
      <c r="L9" s="400"/>
      <c r="M9" s="400"/>
      <c r="N9" s="400"/>
      <c r="O9" s="400"/>
      <c r="P9" s="400"/>
      <c r="Q9" s="400"/>
      <c r="R9" s="400"/>
      <c r="S9" s="400"/>
    </row>
    <row r="10" spans="1:19">
      <c r="A10" s="400"/>
      <c r="B10" s="441"/>
      <c r="C10" s="398"/>
      <c r="D10" s="400"/>
      <c r="E10" s="444"/>
      <c r="F10" s="398" t="s">
        <v>437</v>
      </c>
      <c r="G10" s="400"/>
      <c r="H10" s="400"/>
      <c r="I10" s="400"/>
      <c r="J10" s="400"/>
      <c r="K10" s="400"/>
      <c r="L10" s="400"/>
      <c r="M10" s="400"/>
      <c r="N10" s="400"/>
      <c r="O10" s="400"/>
      <c r="P10" s="400"/>
      <c r="Q10" s="400"/>
      <c r="R10" s="400"/>
      <c r="S10" s="400"/>
    </row>
    <row r="11" spans="1:19">
      <c r="A11" s="400"/>
      <c r="B11" s="442"/>
      <c r="C11" s="399"/>
      <c r="D11" s="400"/>
      <c r="E11" s="445"/>
      <c r="F11" s="399"/>
      <c r="G11" s="400"/>
      <c r="H11" s="400"/>
      <c r="I11" s="400"/>
      <c r="J11" s="400"/>
      <c r="K11" s="400"/>
      <c r="L11" s="400"/>
      <c r="M11" s="400"/>
      <c r="N11" s="400"/>
      <c r="O11" s="400"/>
      <c r="P11" s="400"/>
      <c r="Q11" s="400"/>
      <c r="R11" s="400"/>
      <c r="S11" s="400"/>
    </row>
    <row r="12" spans="1:19">
      <c r="A12" s="400"/>
      <c r="B12" s="400"/>
      <c r="C12" s="390"/>
      <c r="D12" s="400"/>
      <c r="E12" s="401"/>
      <c r="F12" s="390"/>
      <c r="G12" s="400"/>
      <c r="H12" s="400"/>
      <c r="I12" s="400"/>
      <c r="J12" s="400"/>
      <c r="K12" s="400"/>
      <c r="L12" s="400"/>
      <c r="M12" s="400"/>
      <c r="N12" s="400"/>
      <c r="O12" s="400"/>
      <c r="P12" s="400"/>
      <c r="Q12" s="400"/>
      <c r="R12" s="400"/>
      <c r="S12" s="400"/>
    </row>
    <row r="13" spans="1:19" ht="15" customHeight="1">
      <c r="A13" s="400"/>
      <c r="B13" s="446" t="s">
        <v>75</v>
      </c>
      <c r="C13" s="396" t="s">
        <v>422</v>
      </c>
      <c r="D13" s="400"/>
      <c r="E13" s="443" t="s">
        <v>439</v>
      </c>
      <c r="F13" s="396" t="s">
        <v>438</v>
      </c>
      <c r="G13" s="400"/>
      <c r="H13" s="400"/>
      <c r="I13" s="400"/>
      <c r="J13" s="400"/>
      <c r="K13" s="400"/>
      <c r="L13" s="400"/>
      <c r="M13" s="400"/>
      <c r="N13" s="400"/>
      <c r="O13" s="400"/>
      <c r="P13" s="400"/>
      <c r="Q13" s="400"/>
      <c r="R13" s="400"/>
      <c r="S13" s="400"/>
    </row>
    <row r="14" spans="1:19">
      <c r="A14" s="400"/>
      <c r="B14" s="447"/>
      <c r="C14" s="397" t="s">
        <v>423</v>
      </c>
      <c r="D14" s="400"/>
      <c r="E14" s="444"/>
      <c r="F14" s="397" t="s">
        <v>489</v>
      </c>
      <c r="G14" s="400"/>
      <c r="H14" s="400"/>
      <c r="I14" s="400"/>
      <c r="J14" s="400"/>
      <c r="K14" s="400"/>
      <c r="L14" s="400"/>
      <c r="M14" s="400"/>
      <c r="N14" s="400"/>
      <c r="O14" s="400"/>
      <c r="P14" s="400"/>
      <c r="Q14" s="400"/>
      <c r="R14" s="400"/>
      <c r="S14" s="400"/>
    </row>
    <row r="15" spans="1:19">
      <c r="A15" s="400"/>
      <c r="B15" s="447"/>
      <c r="C15" s="397" t="s">
        <v>424</v>
      </c>
      <c r="D15" s="400"/>
      <c r="E15" s="444"/>
      <c r="F15" s="397"/>
      <c r="G15" s="400"/>
      <c r="H15" s="400"/>
      <c r="I15" s="400"/>
      <c r="J15" s="400"/>
      <c r="K15" s="400"/>
      <c r="L15" s="400"/>
      <c r="M15" s="400"/>
      <c r="N15" s="400"/>
      <c r="O15" s="400"/>
      <c r="P15" s="400"/>
      <c r="Q15" s="400"/>
      <c r="R15" s="400"/>
      <c r="S15" s="400"/>
    </row>
    <row r="16" spans="1:19">
      <c r="A16" s="400"/>
      <c r="B16" s="447"/>
      <c r="C16" s="397" t="s">
        <v>425</v>
      </c>
      <c r="D16" s="400"/>
      <c r="E16" s="444"/>
      <c r="F16" s="397"/>
      <c r="G16" s="400"/>
      <c r="H16" s="400"/>
      <c r="I16" s="400"/>
      <c r="J16" s="400"/>
      <c r="K16" s="400"/>
      <c r="L16" s="400"/>
      <c r="M16" s="400"/>
      <c r="N16" s="400"/>
      <c r="O16" s="400"/>
      <c r="P16" s="400"/>
      <c r="Q16" s="400"/>
      <c r="R16" s="400"/>
      <c r="S16" s="400"/>
    </row>
    <row r="17" spans="1:19">
      <c r="A17" s="400"/>
      <c r="B17" s="447"/>
      <c r="C17" s="397" t="s">
        <v>488</v>
      </c>
      <c r="D17" s="400"/>
      <c r="E17" s="444"/>
      <c r="F17" s="398"/>
      <c r="G17" s="400"/>
      <c r="H17" s="400"/>
      <c r="I17" s="400"/>
      <c r="J17" s="400"/>
      <c r="K17" s="400"/>
      <c r="L17" s="400"/>
      <c r="M17" s="400"/>
      <c r="N17" s="400"/>
      <c r="O17" s="400"/>
      <c r="P17" s="400"/>
      <c r="Q17" s="400"/>
      <c r="R17" s="400"/>
      <c r="S17" s="400"/>
    </row>
    <row r="18" spans="1:19">
      <c r="A18" s="400"/>
      <c r="B18" s="448"/>
      <c r="C18" s="399"/>
      <c r="D18" s="400"/>
      <c r="E18" s="445"/>
      <c r="F18" s="399"/>
      <c r="G18" s="400"/>
      <c r="H18" s="400"/>
      <c r="I18" s="400"/>
      <c r="J18" s="400"/>
      <c r="K18" s="400"/>
      <c r="L18" s="400"/>
      <c r="M18" s="400"/>
      <c r="N18" s="400"/>
      <c r="O18" s="400"/>
      <c r="P18" s="400"/>
      <c r="Q18" s="400"/>
      <c r="R18" s="400"/>
      <c r="S18" s="400"/>
    </row>
    <row r="19" spans="1:19">
      <c r="A19" s="400"/>
      <c r="B19" s="400"/>
      <c r="C19" s="390"/>
      <c r="D19" s="400"/>
      <c r="E19" s="400"/>
      <c r="F19" s="390"/>
      <c r="G19" s="400"/>
      <c r="H19" s="400"/>
      <c r="I19" s="400"/>
      <c r="J19" s="400"/>
      <c r="K19" s="400"/>
      <c r="L19" s="400"/>
      <c r="M19" s="400"/>
      <c r="N19" s="400"/>
      <c r="O19" s="400"/>
      <c r="P19" s="400"/>
      <c r="Q19" s="400"/>
      <c r="R19" s="400"/>
      <c r="S19" s="400"/>
    </row>
    <row r="20" spans="1:19">
      <c r="A20" s="400"/>
      <c r="B20" s="446" t="s">
        <v>426</v>
      </c>
      <c r="C20" s="396" t="s">
        <v>427</v>
      </c>
      <c r="D20" s="400"/>
      <c r="E20" s="446" t="s">
        <v>440</v>
      </c>
      <c r="F20" s="396" t="s">
        <v>441</v>
      </c>
      <c r="G20" s="400"/>
      <c r="H20" s="400"/>
      <c r="I20" s="400"/>
      <c r="J20" s="400"/>
      <c r="K20" s="400"/>
      <c r="L20" s="400"/>
      <c r="M20" s="400"/>
      <c r="N20" s="400"/>
      <c r="O20" s="400"/>
      <c r="P20" s="400"/>
      <c r="Q20" s="400"/>
      <c r="R20" s="400"/>
      <c r="S20" s="400"/>
    </row>
    <row r="21" spans="1:19">
      <c r="A21" s="400"/>
      <c r="B21" s="447"/>
      <c r="C21" s="397" t="s">
        <v>428</v>
      </c>
      <c r="D21" s="400"/>
      <c r="E21" s="447"/>
      <c r="F21" s="397"/>
      <c r="G21" s="400"/>
      <c r="H21" s="400"/>
      <c r="I21" s="400"/>
      <c r="J21" s="400"/>
      <c r="K21" s="400"/>
      <c r="L21" s="400"/>
      <c r="M21" s="400"/>
      <c r="N21" s="400"/>
      <c r="O21" s="400"/>
      <c r="P21" s="400"/>
      <c r="Q21" s="400"/>
      <c r="R21" s="400"/>
      <c r="S21" s="400"/>
    </row>
    <row r="22" spans="1:19">
      <c r="A22" s="400"/>
      <c r="B22" s="447"/>
      <c r="C22" s="397" t="s">
        <v>429</v>
      </c>
      <c r="D22" s="400"/>
      <c r="E22" s="447"/>
      <c r="F22" s="397"/>
      <c r="G22" s="400"/>
      <c r="H22" s="400"/>
      <c r="I22" s="400"/>
      <c r="J22" s="400"/>
      <c r="K22" s="400"/>
      <c r="L22" s="400"/>
      <c r="M22" s="400"/>
      <c r="N22" s="400"/>
      <c r="O22" s="400"/>
      <c r="P22" s="400"/>
      <c r="Q22" s="400"/>
      <c r="R22" s="400"/>
      <c r="S22" s="400"/>
    </row>
    <row r="23" spans="1:19">
      <c r="A23" s="400"/>
      <c r="B23" s="447"/>
      <c r="C23" s="397" t="s">
        <v>430</v>
      </c>
      <c r="D23" s="400"/>
      <c r="E23" s="447"/>
      <c r="F23" s="397"/>
      <c r="G23" s="400"/>
      <c r="H23" s="400"/>
      <c r="I23" s="400"/>
      <c r="J23" s="400"/>
      <c r="K23" s="400"/>
      <c r="L23" s="400"/>
      <c r="M23" s="400"/>
      <c r="N23" s="400"/>
      <c r="O23" s="400"/>
      <c r="P23" s="400"/>
      <c r="Q23" s="400"/>
      <c r="R23" s="400"/>
      <c r="S23" s="400"/>
    </row>
    <row r="24" spans="1:19">
      <c r="A24" s="400"/>
      <c r="B24" s="447"/>
      <c r="C24" s="398" t="s">
        <v>431</v>
      </c>
      <c r="D24" s="400"/>
      <c r="E24" s="447"/>
      <c r="F24" s="398"/>
      <c r="G24" s="400"/>
      <c r="H24" s="400"/>
      <c r="I24" s="400"/>
      <c r="J24" s="400"/>
      <c r="K24" s="400"/>
      <c r="L24" s="400"/>
      <c r="M24" s="400"/>
      <c r="N24" s="400"/>
      <c r="O24" s="400"/>
      <c r="P24" s="400"/>
      <c r="Q24" s="400"/>
      <c r="R24" s="400"/>
      <c r="S24" s="400"/>
    </row>
    <row r="25" spans="1:19">
      <c r="A25" s="400"/>
      <c r="B25" s="448"/>
      <c r="C25" s="399" t="s">
        <v>432</v>
      </c>
      <c r="D25" s="400"/>
      <c r="E25" s="448"/>
      <c r="F25" s="399"/>
      <c r="G25" s="400"/>
      <c r="H25" s="400"/>
      <c r="I25" s="400"/>
      <c r="J25" s="400"/>
      <c r="K25" s="400"/>
      <c r="L25" s="400"/>
      <c r="M25" s="400"/>
      <c r="N25" s="400"/>
      <c r="O25" s="400"/>
      <c r="P25" s="400"/>
      <c r="Q25" s="400"/>
      <c r="R25" s="400"/>
      <c r="S25" s="400"/>
    </row>
    <row r="26" spans="1:19">
      <c r="A26" s="400"/>
      <c r="B26" s="400"/>
      <c r="C26" s="400"/>
      <c r="D26" s="400"/>
      <c r="E26" s="400"/>
      <c r="F26" s="400"/>
      <c r="G26" s="400"/>
      <c r="H26" s="400"/>
      <c r="I26" s="400"/>
      <c r="J26" s="400"/>
      <c r="K26" s="400"/>
      <c r="L26" s="400"/>
      <c r="M26" s="400"/>
      <c r="N26" s="400"/>
      <c r="O26" s="400"/>
      <c r="P26" s="400"/>
      <c r="Q26" s="400"/>
      <c r="R26" s="400"/>
      <c r="S26" s="400"/>
    </row>
    <row r="27" spans="1:19">
      <c r="A27" s="400"/>
      <c r="B27" s="400"/>
      <c r="C27" s="400"/>
      <c r="D27" s="400"/>
      <c r="E27" s="400"/>
      <c r="F27" s="400"/>
      <c r="G27" s="400"/>
      <c r="H27" s="400"/>
      <c r="I27" s="400"/>
      <c r="J27" s="400"/>
      <c r="K27" s="400"/>
      <c r="L27" s="400"/>
      <c r="M27" s="400"/>
      <c r="N27" s="400"/>
      <c r="O27" s="400"/>
      <c r="P27" s="400"/>
      <c r="Q27" s="400"/>
      <c r="R27" s="400"/>
      <c r="S27" s="400"/>
    </row>
    <row r="28" spans="1:19">
      <c r="A28" s="400"/>
      <c r="B28" s="400"/>
      <c r="C28" s="400"/>
      <c r="D28" s="400"/>
      <c r="E28" s="400"/>
      <c r="F28" s="400"/>
      <c r="G28" s="400"/>
      <c r="H28" s="400"/>
      <c r="I28" s="400"/>
      <c r="J28" s="400"/>
      <c r="K28" s="400"/>
      <c r="L28" s="400"/>
      <c r="M28" s="400"/>
      <c r="N28" s="400"/>
      <c r="O28" s="400"/>
      <c r="P28" s="400"/>
      <c r="Q28" s="400"/>
      <c r="R28" s="400"/>
      <c r="S28" s="400"/>
    </row>
    <row r="29" spans="1:19">
      <c r="A29" s="400"/>
      <c r="B29" s="400"/>
      <c r="C29" s="400"/>
      <c r="D29" s="400"/>
      <c r="E29" s="400"/>
      <c r="F29" s="400"/>
      <c r="G29" s="400"/>
      <c r="H29" s="400"/>
      <c r="I29" s="400"/>
      <c r="J29" s="400"/>
      <c r="K29" s="400"/>
      <c r="L29" s="400"/>
      <c r="M29" s="400"/>
      <c r="N29" s="400"/>
      <c r="O29" s="400"/>
      <c r="P29" s="400"/>
      <c r="Q29" s="400"/>
      <c r="R29" s="400"/>
      <c r="S29" s="400"/>
    </row>
    <row r="30" spans="1:19">
      <c r="A30" s="400"/>
      <c r="B30" s="400"/>
      <c r="C30" s="400"/>
      <c r="D30" s="400"/>
      <c r="E30" s="400"/>
      <c r="F30" s="400"/>
      <c r="G30" s="400"/>
      <c r="H30" s="400"/>
      <c r="I30" s="400"/>
      <c r="J30" s="400"/>
      <c r="K30" s="400"/>
      <c r="L30" s="400"/>
      <c r="M30" s="400"/>
      <c r="N30" s="400"/>
      <c r="O30" s="400"/>
      <c r="P30" s="400"/>
      <c r="Q30" s="400"/>
      <c r="R30" s="400"/>
      <c r="S30" s="400"/>
    </row>
    <row r="31" spans="1:19">
      <c r="A31" s="400"/>
      <c r="B31" s="400"/>
      <c r="C31" s="400"/>
      <c r="D31" s="400"/>
      <c r="E31" s="400"/>
      <c r="F31" s="400"/>
      <c r="G31" s="400"/>
      <c r="H31" s="400"/>
      <c r="I31" s="400"/>
      <c r="J31" s="400"/>
      <c r="K31" s="400"/>
      <c r="L31" s="400"/>
      <c r="M31" s="400"/>
      <c r="N31" s="400"/>
      <c r="O31" s="400"/>
      <c r="P31" s="400"/>
      <c r="Q31" s="400"/>
      <c r="R31" s="400"/>
      <c r="S31" s="400"/>
    </row>
    <row r="32" spans="1:19">
      <c r="A32" s="400"/>
      <c r="B32" s="400"/>
      <c r="C32" s="400"/>
      <c r="D32" s="400"/>
      <c r="E32" s="400"/>
      <c r="F32" s="400"/>
      <c r="G32" s="400"/>
      <c r="H32" s="400"/>
      <c r="I32" s="400"/>
      <c r="J32" s="400"/>
      <c r="K32" s="400"/>
      <c r="L32" s="400"/>
      <c r="M32" s="400"/>
      <c r="N32" s="400"/>
      <c r="O32" s="400"/>
      <c r="P32" s="400"/>
      <c r="Q32" s="400"/>
      <c r="R32" s="400"/>
      <c r="S32" s="400"/>
    </row>
    <row r="33" spans="1:19">
      <c r="A33" s="400"/>
      <c r="B33" s="400"/>
      <c r="C33" s="400"/>
      <c r="D33" s="400"/>
      <c r="E33" s="400"/>
      <c r="F33" s="400"/>
      <c r="G33" s="400"/>
      <c r="H33" s="400"/>
      <c r="I33" s="400"/>
      <c r="J33" s="400"/>
      <c r="K33" s="400"/>
      <c r="L33" s="400"/>
      <c r="M33" s="400"/>
      <c r="N33" s="400"/>
      <c r="O33" s="400"/>
      <c r="P33" s="400"/>
      <c r="Q33" s="400"/>
      <c r="R33" s="400"/>
      <c r="S33" s="400"/>
    </row>
    <row r="34" spans="1:19">
      <c r="A34" s="400"/>
      <c r="B34" s="400"/>
      <c r="C34" s="400"/>
      <c r="D34" s="400"/>
      <c r="E34" s="400"/>
      <c r="F34" s="400"/>
      <c r="G34" s="400"/>
      <c r="H34" s="400"/>
      <c r="I34" s="400"/>
      <c r="J34" s="400"/>
      <c r="K34" s="400"/>
      <c r="L34" s="400"/>
      <c r="M34" s="400"/>
      <c r="N34" s="400"/>
      <c r="O34" s="400"/>
      <c r="P34" s="400"/>
      <c r="Q34" s="400"/>
      <c r="R34" s="400"/>
      <c r="S34" s="400"/>
    </row>
    <row r="35" spans="1:19">
      <c r="A35" s="400"/>
      <c r="B35" s="400"/>
      <c r="C35" s="400"/>
      <c r="D35" s="400"/>
      <c r="E35" s="400"/>
      <c r="F35" s="400"/>
      <c r="G35" s="400"/>
      <c r="H35" s="400"/>
      <c r="I35" s="400"/>
      <c r="J35" s="400"/>
      <c r="K35" s="400"/>
      <c r="L35" s="400"/>
      <c r="M35" s="400"/>
      <c r="N35" s="400"/>
      <c r="O35" s="400"/>
      <c r="P35" s="400"/>
      <c r="Q35" s="400"/>
      <c r="R35" s="400"/>
      <c r="S35" s="400"/>
    </row>
    <row r="36" spans="1:19">
      <c r="A36" s="400"/>
      <c r="B36" s="400"/>
      <c r="C36" s="400"/>
      <c r="D36" s="400"/>
      <c r="E36" s="400"/>
      <c r="F36" s="400"/>
      <c r="G36" s="400"/>
      <c r="H36" s="400"/>
      <c r="I36" s="400"/>
      <c r="J36" s="400"/>
      <c r="K36" s="400"/>
      <c r="L36" s="400"/>
      <c r="M36" s="400"/>
      <c r="N36" s="400"/>
      <c r="O36" s="400"/>
      <c r="P36" s="400"/>
      <c r="Q36" s="400"/>
      <c r="R36" s="400"/>
      <c r="S36" s="400"/>
    </row>
    <row r="37" spans="1:19">
      <c r="A37" s="400"/>
      <c r="B37" s="400"/>
      <c r="C37" s="400"/>
      <c r="D37" s="400"/>
      <c r="E37" s="400"/>
      <c r="F37" s="400"/>
      <c r="G37" s="400"/>
      <c r="H37" s="400"/>
      <c r="I37" s="400"/>
      <c r="J37" s="400"/>
      <c r="K37" s="400"/>
      <c r="L37" s="400"/>
      <c r="M37" s="400"/>
      <c r="N37" s="400"/>
      <c r="O37" s="400"/>
      <c r="P37" s="400"/>
      <c r="Q37" s="400"/>
      <c r="R37" s="400"/>
      <c r="S37" s="400"/>
    </row>
    <row r="38" spans="1:19">
      <c r="A38" s="400"/>
      <c r="B38" s="400"/>
      <c r="C38" s="400"/>
      <c r="D38" s="400"/>
      <c r="E38" s="400"/>
      <c r="F38" s="400"/>
      <c r="G38" s="400"/>
      <c r="H38" s="400"/>
      <c r="I38" s="400"/>
      <c r="J38" s="400"/>
      <c r="K38" s="400"/>
      <c r="L38" s="400"/>
      <c r="M38" s="400"/>
      <c r="N38" s="400"/>
      <c r="O38" s="400"/>
      <c r="P38" s="400"/>
      <c r="Q38" s="400"/>
      <c r="R38" s="400"/>
      <c r="S38" s="400"/>
    </row>
    <row r="39" spans="1:19">
      <c r="A39" s="400"/>
      <c r="B39" s="400"/>
      <c r="C39" s="400"/>
      <c r="D39" s="400"/>
      <c r="E39" s="400"/>
      <c r="F39" s="400"/>
      <c r="G39" s="400"/>
      <c r="H39" s="400"/>
      <c r="I39" s="400"/>
      <c r="J39" s="400"/>
      <c r="K39" s="400"/>
      <c r="L39" s="400"/>
      <c r="M39" s="400"/>
      <c r="N39" s="400"/>
      <c r="O39" s="400"/>
      <c r="P39" s="400"/>
      <c r="Q39" s="400"/>
      <c r="R39" s="400"/>
      <c r="S39" s="400"/>
    </row>
    <row r="40" spans="1:19">
      <c r="A40" s="400"/>
      <c r="B40" s="400"/>
      <c r="C40" s="400"/>
      <c r="D40" s="400"/>
      <c r="E40" s="400"/>
      <c r="F40" s="400"/>
      <c r="G40" s="400"/>
      <c r="H40" s="400"/>
      <c r="I40" s="400"/>
      <c r="J40" s="400"/>
      <c r="K40" s="400"/>
      <c r="L40" s="400"/>
      <c r="M40" s="400"/>
      <c r="N40" s="400"/>
      <c r="O40" s="400"/>
      <c r="P40" s="400"/>
      <c r="Q40" s="400"/>
      <c r="R40" s="400"/>
      <c r="S40" s="400"/>
    </row>
    <row r="41" spans="1:19">
      <c r="A41" s="400"/>
      <c r="B41" s="400"/>
      <c r="C41" s="400"/>
      <c r="D41" s="400"/>
      <c r="E41" s="400"/>
      <c r="F41" s="400"/>
      <c r="G41" s="400"/>
      <c r="H41" s="400"/>
      <c r="I41" s="400"/>
      <c r="J41" s="400"/>
      <c r="K41" s="400"/>
      <c r="L41" s="400"/>
      <c r="M41" s="400"/>
      <c r="N41" s="400"/>
      <c r="O41" s="400"/>
      <c r="P41" s="400"/>
      <c r="Q41" s="400"/>
      <c r="R41" s="400"/>
      <c r="S41" s="400"/>
    </row>
    <row r="42" spans="1:19">
      <c r="A42" s="400"/>
      <c r="B42" s="400"/>
      <c r="C42" s="400"/>
      <c r="D42" s="400"/>
      <c r="E42" s="400"/>
      <c r="F42" s="400"/>
      <c r="G42" s="400"/>
      <c r="H42" s="400"/>
      <c r="I42" s="400"/>
      <c r="J42" s="400"/>
      <c r="K42" s="400"/>
      <c r="L42" s="400"/>
      <c r="M42" s="400"/>
      <c r="N42" s="400"/>
      <c r="O42" s="400"/>
      <c r="P42" s="400"/>
      <c r="Q42" s="400"/>
      <c r="R42" s="400"/>
      <c r="S42" s="400"/>
    </row>
    <row r="43" spans="1:19">
      <c r="A43" s="400"/>
      <c r="B43" s="400"/>
      <c r="C43" s="400"/>
      <c r="D43" s="400"/>
      <c r="E43" s="400"/>
      <c r="F43" s="400"/>
      <c r="G43" s="400"/>
      <c r="H43" s="400"/>
      <c r="I43" s="400"/>
      <c r="J43" s="400"/>
      <c r="K43" s="400"/>
      <c r="L43" s="400"/>
      <c r="M43" s="400"/>
      <c r="N43" s="400"/>
      <c r="O43" s="400"/>
      <c r="P43" s="400"/>
      <c r="Q43" s="400"/>
      <c r="R43" s="400"/>
      <c r="S43" s="400"/>
    </row>
    <row r="44" spans="1:19">
      <c r="A44" s="400"/>
      <c r="B44" s="400"/>
      <c r="C44" s="400"/>
      <c r="D44" s="400"/>
      <c r="E44" s="400"/>
      <c r="F44" s="400"/>
      <c r="G44" s="400"/>
      <c r="H44" s="400"/>
      <c r="I44" s="400"/>
      <c r="J44" s="400"/>
      <c r="K44" s="400"/>
      <c r="L44" s="400"/>
      <c r="M44" s="400"/>
      <c r="N44" s="400"/>
      <c r="O44" s="400"/>
      <c r="P44" s="400"/>
      <c r="Q44" s="400"/>
      <c r="R44" s="400"/>
      <c r="S44" s="400"/>
    </row>
    <row r="45" spans="1:19">
      <c r="A45" s="400"/>
      <c r="B45" s="400"/>
      <c r="C45" s="400"/>
      <c r="D45" s="400"/>
      <c r="E45" s="400"/>
      <c r="F45" s="400"/>
      <c r="G45" s="400"/>
      <c r="H45" s="400"/>
      <c r="I45" s="400"/>
      <c r="J45" s="400"/>
      <c r="K45" s="400"/>
      <c r="L45" s="400"/>
      <c r="M45" s="400"/>
      <c r="N45" s="400"/>
      <c r="O45" s="400"/>
      <c r="P45" s="400"/>
      <c r="Q45" s="400"/>
      <c r="R45" s="400"/>
      <c r="S45" s="400"/>
    </row>
    <row r="46" spans="1:19">
      <c r="A46" s="400"/>
      <c r="B46" s="400"/>
      <c r="C46" s="400"/>
      <c r="D46" s="400"/>
      <c r="E46" s="400"/>
      <c r="F46" s="400"/>
      <c r="G46" s="400"/>
      <c r="H46" s="400"/>
      <c r="I46" s="400"/>
      <c r="J46" s="400"/>
      <c r="K46" s="400"/>
      <c r="L46" s="400"/>
      <c r="M46" s="400"/>
      <c r="N46" s="400"/>
      <c r="O46" s="400"/>
      <c r="P46" s="400"/>
      <c r="Q46" s="400"/>
      <c r="R46" s="400"/>
      <c r="S46" s="400"/>
    </row>
    <row r="47" spans="1:19">
      <c r="A47" s="400"/>
      <c r="B47" s="400"/>
      <c r="C47" s="400"/>
      <c r="D47" s="400"/>
      <c r="E47" s="400"/>
      <c r="F47" s="400"/>
      <c r="G47" s="400"/>
      <c r="H47" s="400"/>
      <c r="I47" s="400"/>
      <c r="J47" s="400"/>
      <c r="K47" s="400"/>
      <c r="L47" s="400"/>
      <c r="M47" s="400"/>
      <c r="N47" s="400"/>
      <c r="O47" s="400"/>
      <c r="P47" s="400"/>
      <c r="Q47" s="400"/>
      <c r="R47" s="400"/>
      <c r="S47" s="400"/>
    </row>
    <row r="48" spans="1:19">
      <c r="A48" s="400"/>
      <c r="B48" s="400"/>
      <c r="C48" s="400"/>
      <c r="D48" s="400"/>
      <c r="E48" s="400"/>
      <c r="F48" s="400"/>
      <c r="G48" s="400"/>
      <c r="H48" s="400"/>
      <c r="I48" s="400"/>
      <c r="J48" s="400"/>
      <c r="K48" s="400"/>
      <c r="L48" s="400"/>
      <c r="M48" s="400"/>
      <c r="N48" s="400"/>
      <c r="O48" s="400"/>
      <c r="P48" s="400"/>
      <c r="Q48" s="400"/>
      <c r="R48" s="400"/>
      <c r="S48" s="400"/>
    </row>
  </sheetData>
  <mergeCells count="6">
    <mergeCell ref="B6:B11"/>
    <mergeCell ref="E6:E11"/>
    <mergeCell ref="B13:B18"/>
    <mergeCell ref="B20:B25"/>
    <mergeCell ref="E13:E18"/>
    <mergeCell ref="E20:E25"/>
  </mergeCells>
  <hyperlinks>
    <hyperlink ref="B13:B18" location="'3B_Fleisch'!A1" display="Fleisch/Fisch" xr:uid="{95574A72-4EA8-4CD0-B16F-A18643A149AA}"/>
    <hyperlink ref="B20:B25" location="'3C_Transport, Gemüse, Bio'!A1" display="Transport/Gemüse/Bio" xr:uid="{9ECEB50A-7BF4-4A11-A649-CE55483DAE36}"/>
    <hyperlink ref="E6:E11" location="'3D_Menüzusammensetzung'!A1" display="Menüzusammensetzung" xr:uid="{4A7FE8D9-7F74-4B61-A10E-C3F361625850}"/>
    <hyperlink ref="E13:E18" location="'3E_Vegan_Vegetarisch'!A1" display="Vegetarische und vegane Menüs" xr:uid="{E0C94CD0-E86C-46DB-AB50-526F02AA4136}"/>
    <hyperlink ref="E20:E25" location="'3F_Foodwaste'!A1" display="Food Waste" xr:uid="{6174AD41-35BB-4DD1-AF82-D7582B89DD13}"/>
    <hyperlink ref="B6:B11" location="'3A_Milchprodukte'!A1" display="Milchprodukte" xr:uid="{62D395DE-7BCF-448C-8274-67B99C6A2109}"/>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7">
    <pageSetUpPr fitToPage="1"/>
  </sheetPr>
  <dimension ref="A1:AX33"/>
  <sheetViews>
    <sheetView zoomScale="90" zoomScaleNormal="90" workbookViewId="0">
      <pane ySplit="2" topLeftCell="A3" activePane="bottomLeft" state="frozen"/>
      <selection activeCell="F19" sqref="F19"/>
      <selection pane="bottomLeft" activeCell="B3" sqref="B3"/>
    </sheetView>
  </sheetViews>
  <sheetFormatPr baseColWidth="10" defaultColWidth="11.42578125" defaultRowHeight="21.75" customHeight="1"/>
  <cols>
    <col min="1" max="1" width="4.42578125" style="9" customWidth="1"/>
    <col min="2" max="2" width="48.5703125" style="9" customWidth="1"/>
    <col min="3" max="3" width="11.140625" style="62" customWidth="1"/>
    <col min="4" max="4" width="80.85546875" style="20" customWidth="1"/>
    <col min="5" max="5" width="18" style="20" customWidth="1"/>
    <col min="6" max="6" width="12.42578125" style="3" customWidth="1"/>
    <col min="7" max="7" width="7.42578125" style="3" customWidth="1"/>
    <col min="8" max="8" width="12.42578125" style="3" customWidth="1"/>
    <col min="9" max="9" width="14.5703125" style="7" hidden="1" customWidth="1"/>
    <col min="10" max="10" width="24.42578125" style="7" hidden="1" customWidth="1"/>
    <col min="11" max="11" width="41.85546875" style="3" customWidth="1"/>
    <col min="12" max="16384" width="11.42578125" style="3"/>
  </cols>
  <sheetData>
    <row r="1" spans="1:50" s="2" customFormat="1" ht="21.75" customHeight="1">
      <c r="A1" s="98" t="s">
        <v>8</v>
      </c>
      <c r="B1" s="74"/>
      <c r="C1" s="63" t="s">
        <v>9</v>
      </c>
      <c r="D1" s="75"/>
      <c r="E1" s="75"/>
      <c r="F1" s="76"/>
      <c r="G1" s="218" t="s">
        <v>10</v>
      </c>
      <c r="H1" s="117">
        <f>'4_Nachweiserbringung'!F91</f>
        <v>0</v>
      </c>
      <c r="I1" s="64"/>
      <c r="J1" s="64"/>
      <c r="K1" s="77"/>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1"/>
      <c r="AX1" s="1"/>
    </row>
    <row r="2" spans="1:50" s="4" customFormat="1" ht="66" customHeight="1">
      <c r="A2" s="79" t="s">
        <v>11</v>
      </c>
      <c r="B2" s="80" t="s">
        <v>12</v>
      </c>
      <c r="C2" s="81" t="s">
        <v>13</v>
      </c>
      <c r="D2" s="82" t="s">
        <v>14</v>
      </c>
      <c r="E2" s="82" t="s">
        <v>15</v>
      </c>
      <c r="F2" s="82" t="s">
        <v>16</v>
      </c>
      <c r="G2" s="81" t="s">
        <v>17</v>
      </c>
      <c r="H2" s="82" t="s">
        <v>18</v>
      </c>
      <c r="I2" s="83" t="s">
        <v>19</v>
      </c>
      <c r="J2" s="84" t="s">
        <v>14</v>
      </c>
      <c r="K2" s="85" t="s">
        <v>20</v>
      </c>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0" ht="26.25" customHeight="1">
      <c r="A3" s="221">
        <v>1</v>
      </c>
      <c r="B3" s="226" t="s">
        <v>21</v>
      </c>
      <c r="C3" s="66">
        <v>0</v>
      </c>
      <c r="D3" s="59" t="s">
        <v>22</v>
      </c>
      <c r="E3" s="48">
        <f>ROUND(MID($B$4,11,2),2)</f>
        <v>13</v>
      </c>
      <c r="F3" s="44">
        <v>0</v>
      </c>
      <c r="G3" s="29"/>
      <c r="H3" s="30"/>
      <c r="I3" s="7">
        <v>1</v>
      </c>
      <c r="J3" s="87" t="s">
        <v>23</v>
      </c>
      <c r="K3" s="58"/>
    </row>
    <row r="4" spans="1:50" ht="21.75" customHeight="1">
      <c r="A4" s="223"/>
      <c r="B4" s="224" t="s">
        <v>24</v>
      </c>
      <c r="C4" s="66" t="s">
        <v>8</v>
      </c>
      <c r="D4" s="60" t="s">
        <v>25</v>
      </c>
      <c r="E4" s="46">
        <f>ROUND(MID($B$4,11,2),2)-ROUND(MID($B$4,11,2)*LEFT(D4,2)/100,2)</f>
        <v>9.75</v>
      </c>
      <c r="F4" s="10">
        <f>F5/2</f>
        <v>1.4750000000000002E-3</v>
      </c>
      <c r="G4" s="6"/>
      <c r="H4" s="11"/>
      <c r="I4" s="333">
        <f>IF(AND('3E_Vegan_Vegetarisch'!J8=1,'3E_Vegan_Vegetarisch'!J18=1),0,IF('3E_Vegan_Vegetarisch'!J8=2,'3E_Vegan_Vegetarisch'!F9-'3E_Vegan_Vegetarisch'!F4,IF('3E_Vegan_Vegetarisch'!J8=3,'3E_Vegan_Vegetarisch'!F10-'3E_Vegan_Vegetarisch'!F5,IF('3E_Vegan_Vegetarisch'!J8=4,'3E_Vegan_Vegetarisch'!F11-'3E_Vegan_Vegetarisch'!F6,IF('3E_Vegan_Vegetarisch'!J8=5,'3E_Vegan_Vegetarisch'!F12-'3E_Vegan_Vegetarisch'!F7,IF('3E_Vegan_Vegetarisch'!J18=2,'3E_Vegan_Vegetarisch'!F19-'3E_Vegan_Vegetarisch'!F14,IF('3E_Vegan_Vegetarisch'!J18=3,'3E_Vegan_Vegetarisch'!F20-'3E_Vegan_Vegetarisch'!F15,IF('3E_Vegan_Vegetarisch'!J18=4,'3E_Vegan_Vegetarisch'!F21-'3E_Vegan_Vegetarisch'!F16,IF('3E_Vegan_Vegetarisch'!J18=5,'3E_Vegan_Vegetarisch'!F22-'3E_Vegan_Vegetarisch'!F17,1)))))))))</f>
        <v>0</v>
      </c>
      <c r="J4" s="334" t="s">
        <v>26</v>
      </c>
      <c r="K4" s="204"/>
    </row>
    <row r="5" spans="1:50" ht="21.75" customHeight="1">
      <c r="A5" s="223"/>
      <c r="B5" s="449" t="s">
        <v>27</v>
      </c>
      <c r="C5" s="66" t="s">
        <v>28</v>
      </c>
      <c r="D5" s="60" t="s">
        <v>29</v>
      </c>
      <c r="E5" s="46">
        <f>ROUND(MID($B$4,11,2),2)-ROUND(MID($B$4,11,2)*LEFT(D5,2)/100,2)</f>
        <v>6.5</v>
      </c>
      <c r="F5" s="10">
        <f>F7*0.5</f>
        <v>2.9500000000000004E-3</v>
      </c>
      <c r="G5" s="6"/>
      <c r="H5" s="11"/>
      <c r="I5" s="332">
        <f>SUM(H22,H7,H12,H17,H27,H32)-A_TOT</f>
        <v>0</v>
      </c>
      <c r="J5" s="331" t="s">
        <v>30</v>
      </c>
      <c r="K5" s="204"/>
    </row>
    <row r="6" spans="1:50" ht="23.25" customHeight="1">
      <c r="A6" s="223"/>
      <c r="B6" s="450"/>
      <c r="C6" s="66" t="s">
        <v>31</v>
      </c>
      <c r="D6" s="60" t="s">
        <v>32</v>
      </c>
      <c r="E6" s="46">
        <f>ROUND(MID($B$4,11,2),2)-ROUND(MID($B$4,11,2)*LEFT(D6,2)/100,2)</f>
        <v>3.25</v>
      </c>
      <c r="F6" s="10">
        <f>F7*0.75</f>
        <v>4.4250000000000001E-3</v>
      </c>
      <c r="G6" s="6"/>
      <c r="H6" s="11"/>
      <c r="K6" s="204"/>
    </row>
    <row r="7" spans="1:50" ht="21" customHeight="1">
      <c r="A7" s="225"/>
      <c r="B7" s="451"/>
      <c r="C7" s="67" t="s">
        <v>33</v>
      </c>
      <c r="D7" s="61" t="s">
        <v>34</v>
      </c>
      <c r="E7" s="47">
        <v>0</v>
      </c>
      <c r="F7" s="14">
        <f>5.9%*0.1</f>
        <v>5.9000000000000007E-3</v>
      </c>
      <c r="G7" s="15"/>
      <c r="H7" s="16">
        <f>IF(I3=1,F3,(IF(I3=2,F4,IF(I3=3,F5,IF(I3=4,F6,IF(I3=5,F7,""))))))*I29</f>
        <v>0</v>
      </c>
      <c r="I7" s="88">
        <f>IF(I3=1,F3,(IF(I3=2,F4,IF(I3=3,F5,IF(I3=4,F6,IF(I3=5,F7,""))))))</f>
        <v>0</v>
      </c>
      <c r="J7" s="7" t="s">
        <v>35</v>
      </c>
      <c r="K7" s="205"/>
    </row>
    <row r="8" spans="1:50" s="8" customFormat="1" ht="26.25" customHeight="1">
      <c r="A8" s="89">
        <v>2</v>
      </c>
      <c r="B8" s="17" t="s">
        <v>36</v>
      </c>
      <c r="C8" s="68">
        <v>0</v>
      </c>
      <c r="D8" s="18" t="s">
        <v>22</v>
      </c>
      <c r="E8" s="18">
        <f>ROUND(MID($B$9,11,1),2)</f>
        <v>9</v>
      </c>
      <c r="F8" s="90">
        <v>0</v>
      </c>
      <c r="H8" s="19"/>
      <c r="I8" s="87">
        <v>1</v>
      </c>
      <c r="J8" s="87" t="s">
        <v>23</v>
      </c>
      <c r="K8" s="52"/>
    </row>
    <row r="9" spans="1:50" ht="21.75" customHeight="1">
      <c r="A9" s="72"/>
      <c r="B9" s="91" t="s">
        <v>37</v>
      </c>
      <c r="C9" s="69" t="s">
        <v>8</v>
      </c>
      <c r="D9" s="20" t="s">
        <v>38</v>
      </c>
      <c r="E9" s="18">
        <f>ROUND(MID($B$9,11,1),2)-ROUND(MID($B$9,11,1)*LEFT(D9,2)/100,2)</f>
        <v>6.75</v>
      </c>
      <c r="F9" s="92">
        <v>1.26E-2</v>
      </c>
      <c r="H9" s="21"/>
      <c r="K9" s="53"/>
    </row>
    <row r="10" spans="1:50" ht="27" customHeight="1">
      <c r="A10" s="72"/>
      <c r="B10" s="452" t="s">
        <v>39</v>
      </c>
      <c r="C10" s="69" t="s">
        <v>28</v>
      </c>
      <c r="D10" s="20" t="s">
        <v>40</v>
      </c>
      <c r="E10" s="18">
        <f>ROUND(MID($B$9,11,1),2)-ROUND(MID($B$9,11,1)*LEFT(D10,2)/100,2)</f>
        <v>4.5</v>
      </c>
      <c r="F10" s="92">
        <v>2.5100000000000001E-2</v>
      </c>
      <c r="H10" s="21"/>
      <c r="K10" s="53"/>
    </row>
    <row r="11" spans="1:50" ht="24" customHeight="1">
      <c r="A11" s="72"/>
      <c r="B11" s="452"/>
      <c r="C11" s="69" t="s">
        <v>31</v>
      </c>
      <c r="D11" s="220" t="s">
        <v>41</v>
      </c>
      <c r="E11" s="121">
        <v>0</v>
      </c>
      <c r="F11" s="93">
        <v>4.4999999999999998E-2</v>
      </c>
      <c r="H11" s="21"/>
      <c r="K11" s="53"/>
      <c r="L11" s="207"/>
    </row>
    <row r="12" spans="1:50" ht="28.5" customHeight="1">
      <c r="A12" s="73"/>
      <c r="B12" s="453"/>
      <c r="C12" s="70" t="s">
        <v>33</v>
      </c>
      <c r="D12" s="22" t="s">
        <v>42</v>
      </c>
      <c r="E12" s="22">
        <v>0</v>
      </c>
      <c r="F12" s="24">
        <v>4.8000000000000001E-2</v>
      </c>
      <c r="G12" s="25"/>
      <c r="H12" s="26">
        <f>IF(I8=1,F8,(IF(I8=2,F9,IF(I8=3,F10,IF(I8=4,F11,IF(I8=5,F12,""))))))*I29</f>
        <v>0</v>
      </c>
      <c r="I12" s="88">
        <f>IF(I8=1,E8,(IF(I8=2,E9,IF(I8=3,E10,IF(I8=4,E11,IF(I8=5,E12,""))))))</f>
        <v>9</v>
      </c>
      <c r="J12" s="7" t="s">
        <v>35</v>
      </c>
      <c r="K12" s="54"/>
    </row>
    <row r="13" spans="1:50" ht="30" customHeight="1">
      <c r="A13" s="221">
        <v>3</v>
      </c>
      <c r="B13" s="222" t="s">
        <v>43</v>
      </c>
      <c r="C13" s="65">
        <v>0</v>
      </c>
      <c r="D13" s="59" t="s">
        <v>22</v>
      </c>
      <c r="E13" s="27">
        <f>ROUND(MID($B$14,11,1),2)</f>
        <v>1</v>
      </c>
      <c r="F13" s="28">
        <v>0</v>
      </c>
      <c r="G13" s="29"/>
      <c r="H13" s="30"/>
      <c r="I13" s="7">
        <v>1</v>
      </c>
      <c r="J13" s="87" t="s">
        <v>23</v>
      </c>
      <c r="K13" s="56"/>
    </row>
    <row r="14" spans="1:50" ht="21.75" customHeight="1">
      <c r="A14" s="223"/>
      <c r="B14" s="224" t="s">
        <v>44</v>
      </c>
      <c r="C14" s="66" t="s">
        <v>8</v>
      </c>
      <c r="D14" s="60" t="s">
        <v>45</v>
      </c>
      <c r="E14" s="5">
        <f>ROUND(MID($B$14,11,1),2)-ROUND(MID($B$14,11,1)*LEFT(D14,2)/100,2)</f>
        <v>0.75</v>
      </c>
      <c r="F14" s="31">
        <f>F15/2</f>
        <v>3.5000000000000001E-3</v>
      </c>
      <c r="G14" s="6"/>
      <c r="H14" s="11"/>
      <c r="K14" s="204"/>
    </row>
    <row r="15" spans="1:50" ht="29.25" customHeight="1">
      <c r="A15" s="223"/>
      <c r="B15" s="454" t="s">
        <v>39</v>
      </c>
      <c r="C15" s="66" t="s">
        <v>28</v>
      </c>
      <c r="D15" s="60" t="s">
        <v>46</v>
      </c>
      <c r="E15" s="5">
        <f>ROUND(MID($B$14,11,1),2)-ROUND(MID($B$14,11,1)*LEFT(D15,2)/100,2)</f>
        <v>0.5</v>
      </c>
      <c r="F15" s="31">
        <v>7.0000000000000001E-3</v>
      </c>
      <c r="G15" s="6"/>
      <c r="H15" s="11"/>
      <c r="K15" s="204"/>
    </row>
    <row r="16" spans="1:50" ht="23.25" customHeight="1">
      <c r="A16" s="223"/>
      <c r="B16" s="454"/>
      <c r="C16" s="66" t="s">
        <v>31</v>
      </c>
      <c r="D16" s="60" t="s">
        <v>47</v>
      </c>
      <c r="E16" s="5">
        <f>ROUND(MID($B$14,11,1),2)-ROUND(MID($B$14,11,1)*LEFT(D16,2)/100,2)</f>
        <v>0.25</v>
      </c>
      <c r="F16" s="31">
        <f>F17*0.75</f>
        <v>1.0500000000000001E-2</v>
      </c>
      <c r="G16" s="6"/>
      <c r="H16" s="11"/>
      <c r="K16" s="204"/>
    </row>
    <row r="17" spans="1:11" ht="24.75" customHeight="1">
      <c r="A17" s="225"/>
      <c r="B17" s="455"/>
      <c r="C17" s="67" t="s">
        <v>33</v>
      </c>
      <c r="D17" s="61" t="s">
        <v>48</v>
      </c>
      <c r="E17" s="13">
        <f>ROUND(MID($B$14,11,1),2)-ROUND(MID($B$14,11,1)*LEFT(D17,3)/100,2)</f>
        <v>0</v>
      </c>
      <c r="F17" s="32">
        <v>1.4E-2</v>
      </c>
      <c r="G17" s="15"/>
      <c r="H17" s="16">
        <f>IF(I13=1,F13,(IF(I13=2,F14,IF(I13=3,F15,IF(I13=4,F16,IF(I13=5,F17,""))))))*I29</f>
        <v>0</v>
      </c>
      <c r="I17" s="88">
        <f>IF(I13=1,E13,(IF(I13=2,E14,IF(I13=3,E15,IF(I13=4,E16,IF(I13=5,E17,""))))))</f>
        <v>1</v>
      </c>
      <c r="J17" s="7" t="s">
        <v>35</v>
      </c>
      <c r="K17" s="205"/>
    </row>
    <row r="18" spans="1:11" ht="30.75" customHeight="1">
      <c r="A18" s="72">
        <v>4</v>
      </c>
      <c r="B18" s="33" t="s">
        <v>49</v>
      </c>
      <c r="C18" s="71">
        <v>0</v>
      </c>
      <c r="D18" s="20" t="s">
        <v>22</v>
      </c>
      <c r="E18" s="94">
        <f>ROUND(MID($B$19,11,2),2)</f>
        <v>11</v>
      </c>
      <c r="F18" s="93">
        <v>0</v>
      </c>
      <c r="H18" s="21"/>
      <c r="I18" s="7">
        <v>1</v>
      </c>
      <c r="J18" s="87" t="s">
        <v>23</v>
      </c>
      <c r="K18" s="53"/>
    </row>
    <row r="19" spans="1:11" ht="27.6" customHeight="1">
      <c r="A19" s="72"/>
      <c r="B19" s="91" t="s">
        <v>50</v>
      </c>
      <c r="C19" s="69" t="s">
        <v>8</v>
      </c>
      <c r="D19" s="20" t="s">
        <v>51</v>
      </c>
      <c r="E19" s="95">
        <f>ROUND(MID($B$19,11,2),2)-ROUND(MID($B$19,11,2)*LEFT(D19,2)/100,2)</f>
        <v>8.25</v>
      </c>
      <c r="F19" s="93">
        <f>F20/2</f>
        <v>1.375E-2</v>
      </c>
      <c r="H19" s="21"/>
      <c r="K19" s="53"/>
    </row>
    <row r="20" spans="1:11" ht="31.5" customHeight="1">
      <c r="A20" s="72"/>
      <c r="B20" s="452" t="s">
        <v>52</v>
      </c>
      <c r="C20" s="69" t="s">
        <v>28</v>
      </c>
      <c r="D20" s="20" t="s">
        <v>53</v>
      </c>
      <c r="E20" s="95">
        <f>ROUND(MID($B$19,11,2),2)-ROUND(MID($B$19,11,2)*LEFT(D20,2)/100,2)</f>
        <v>5.5</v>
      </c>
      <c r="F20" s="93">
        <f>F22/2</f>
        <v>2.75E-2</v>
      </c>
      <c r="H20" s="21"/>
      <c r="K20" s="53"/>
    </row>
    <row r="21" spans="1:11" ht="29.25" customHeight="1">
      <c r="A21" s="72"/>
      <c r="B21" s="452"/>
      <c r="C21" s="69" t="s">
        <v>31</v>
      </c>
      <c r="D21" s="20" t="s">
        <v>54</v>
      </c>
      <c r="E21" s="95">
        <f>ROUND(MID($B$19,11,2),2)-ROUND(MID($B$19,11,2)*LEFT(D21,2)/100,2)</f>
        <v>2.75</v>
      </c>
      <c r="F21" s="93">
        <f>F19*3</f>
        <v>4.1250000000000002E-2</v>
      </c>
      <c r="H21" s="21"/>
      <c r="K21" s="53"/>
    </row>
    <row r="22" spans="1:11" ht="27.75" customHeight="1">
      <c r="A22" s="73"/>
      <c r="B22" s="453"/>
      <c r="C22" s="70" t="s">
        <v>33</v>
      </c>
      <c r="D22" s="22" t="s">
        <v>55</v>
      </c>
      <c r="E22" s="22">
        <f>ROUND(MID($B$19,11,2),2)-ROUND(MID($B$19,11,2)*LEFT(D22,3)/100,2)</f>
        <v>0</v>
      </c>
      <c r="F22" s="24">
        <v>5.5E-2</v>
      </c>
      <c r="G22" s="25"/>
      <c r="H22" s="26">
        <f>IF(I18=1,F18,(IF(I18=2,F19,IF(I18=3,F20,IF(I18=4,F21,IF(I18=5,F22,""))))))*I29</f>
        <v>0</v>
      </c>
      <c r="I22" s="88">
        <f>IF(I18=1,E18,(IF(I18=2,E19,IF(I18=3,E20,IF(I18=4,E21,IF(I18=5,E22,""))))))</f>
        <v>11</v>
      </c>
      <c r="J22" s="7" t="s">
        <v>35</v>
      </c>
      <c r="K22" s="54"/>
    </row>
    <row r="23" spans="1:11" ht="27" customHeight="1">
      <c r="A23" s="221">
        <v>5</v>
      </c>
      <c r="B23" s="227" t="s">
        <v>56</v>
      </c>
      <c r="C23" s="65">
        <v>0</v>
      </c>
      <c r="D23" s="59" t="s">
        <v>22</v>
      </c>
      <c r="E23" s="27">
        <v>6</v>
      </c>
      <c r="F23" s="34">
        <v>0</v>
      </c>
      <c r="G23" s="29"/>
      <c r="H23" s="30"/>
      <c r="I23" s="7">
        <v>1</v>
      </c>
      <c r="J23" s="87" t="s">
        <v>23</v>
      </c>
      <c r="K23" s="56"/>
    </row>
    <row r="24" spans="1:11" ht="29.1" customHeight="1">
      <c r="A24" s="223"/>
      <c r="B24" s="224" t="s">
        <v>57</v>
      </c>
      <c r="C24" s="66" t="s">
        <v>8</v>
      </c>
      <c r="D24" s="122" t="s">
        <v>58</v>
      </c>
      <c r="E24" s="5">
        <v>4.2</v>
      </c>
      <c r="F24" s="35">
        <v>3.0000000000000001E-3</v>
      </c>
      <c r="G24" s="6"/>
      <c r="H24" s="11"/>
      <c r="I24" s="7">
        <f>IF(I18&gt;1,0,1)</f>
        <v>1</v>
      </c>
      <c r="J24" s="7" t="s">
        <v>59</v>
      </c>
      <c r="K24" s="57"/>
    </row>
    <row r="25" spans="1:11" ht="32.25" customHeight="1">
      <c r="A25" s="223"/>
      <c r="B25" s="454" t="s">
        <v>60</v>
      </c>
      <c r="C25" s="66" t="s">
        <v>28</v>
      </c>
      <c r="D25" s="122" t="s">
        <v>61</v>
      </c>
      <c r="E25" s="5">
        <v>1.5</v>
      </c>
      <c r="F25" s="35">
        <v>7.0000000000000001E-3</v>
      </c>
      <c r="G25" s="6"/>
      <c r="H25" s="11"/>
      <c r="K25" s="57"/>
    </row>
    <row r="26" spans="1:11" ht="26.25" customHeight="1">
      <c r="A26" s="223"/>
      <c r="B26" s="454"/>
      <c r="C26" s="66" t="s">
        <v>31</v>
      </c>
      <c r="D26" s="60" t="s">
        <v>62</v>
      </c>
      <c r="E26" s="5">
        <f>6*0.25</f>
        <v>1.5</v>
      </c>
      <c r="F26" s="35">
        <v>0.02</v>
      </c>
      <c r="G26" s="6"/>
      <c r="H26" s="11"/>
      <c r="K26" s="57"/>
    </row>
    <row r="27" spans="1:11" ht="28.5" customHeight="1">
      <c r="A27" s="225"/>
      <c r="B27" s="455"/>
      <c r="C27" s="67" t="s">
        <v>33</v>
      </c>
      <c r="D27" s="61" t="s">
        <v>63</v>
      </c>
      <c r="E27" s="13">
        <v>0</v>
      </c>
      <c r="F27" s="36">
        <v>2.7E-2</v>
      </c>
      <c r="G27" s="15"/>
      <c r="H27" s="37">
        <f>IF(I23=1,F23,(IF(I23=2,F24,IF(I23=3,F25,IF(I23=4,F26,IF(I23=5,F27,""))))))*I24*I29</f>
        <v>0</v>
      </c>
      <c r="I27" s="88">
        <f>IF(I23=1,E23,(IF(I23=2,E24,IF(I23=3,E25,IF(I23=4,E26,IF(I23=5,E27,""))))))</f>
        <v>6</v>
      </c>
      <c r="J27" s="7" t="s">
        <v>35</v>
      </c>
      <c r="K27" s="55"/>
    </row>
    <row r="28" spans="1:11" ht="31.5" customHeight="1">
      <c r="A28" s="72">
        <v>6</v>
      </c>
      <c r="B28" s="38" t="s">
        <v>64</v>
      </c>
      <c r="C28" s="71">
        <v>0</v>
      </c>
      <c r="D28" s="20" t="s">
        <v>22</v>
      </c>
      <c r="E28" s="95">
        <v>250</v>
      </c>
      <c r="F28" s="93">
        <v>0</v>
      </c>
      <c r="H28" s="19"/>
      <c r="I28" s="7">
        <v>1</v>
      </c>
      <c r="J28" s="87" t="s">
        <v>23</v>
      </c>
      <c r="K28" s="456" t="s">
        <v>65</v>
      </c>
    </row>
    <row r="29" spans="1:11" ht="57.75" customHeight="1">
      <c r="A29" s="72"/>
      <c r="B29" s="18" t="s">
        <v>66</v>
      </c>
      <c r="C29" s="69" t="s">
        <v>8</v>
      </c>
      <c r="D29" s="20" t="s">
        <v>67</v>
      </c>
      <c r="E29" s="95">
        <v>200</v>
      </c>
      <c r="F29" s="93">
        <v>2.3800000000000002E-2</v>
      </c>
      <c r="H29" s="21"/>
      <c r="I29" s="7">
        <f>IF('3B_Fleisch'!J58=2,0.8,IF('3B_Fleisch'!J58=3,0.65,IF('3B_Fleisch'!J58=4,0.5,IF('3B_Fleisch'!J58=5,0,1))))</f>
        <v>1</v>
      </c>
      <c r="J29" s="7" t="s">
        <v>68</v>
      </c>
      <c r="K29" s="457"/>
    </row>
    <row r="30" spans="1:11" ht="30.75" customHeight="1">
      <c r="A30" s="72"/>
      <c r="B30" s="459" t="s">
        <v>69</v>
      </c>
      <c r="C30" s="69" t="s">
        <v>28</v>
      </c>
      <c r="D30" s="20" t="s">
        <v>70</v>
      </c>
      <c r="E30" s="95">
        <v>160</v>
      </c>
      <c r="F30" s="93">
        <v>4.2799999999999998E-2</v>
      </c>
      <c r="H30" s="21"/>
      <c r="I30" s="7">
        <f>IF(OR(I23&gt;1,I18&gt;1,I13&gt;1,I8&gt;1),0,1)</f>
        <v>1</v>
      </c>
      <c r="J30" s="7" t="s">
        <v>71</v>
      </c>
      <c r="K30" s="457"/>
    </row>
    <row r="31" spans="1:11" ht="30.75" customHeight="1">
      <c r="A31" s="72"/>
      <c r="B31" s="460"/>
      <c r="C31" s="69" t="s">
        <v>31</v>
      </c>
      <c r="D31" s="20" t="s">
        <v>72</v>
      </c>
      <c r="E31" s="95">
        <v>120</v>
      </c>
      <c r="F31" s="93">
        <v>6.1800000000000001E-2</v>
      </c>
      <c r="H31" s="21"/>
      <c r="K31" s="457"/>
    </row>
    <row r="32" spans="1:11" ht="27.75" customHeight="1">
      <c r="A32" s="97"/>
      <c r="B32" s="461"/>
      <c r="C32" s="70" t="s">
        <v>33</v>
      </c>
      <c r="D32" s="118" t="s">
        <v>73</v>
      </c>
      <c r="E32" s="118">
        <v>84</v>
      </c>
      <c r="F32" s="40">
        <v>7.9000000000000001E-2</v>
      </c>
      <c r="G32" s="25"/>
      <c r="H32" s="41">
        <f>IF(I28=1,F28,(IF(I28=2,F29,IF(I28=3,F30,IF(I28=4,F31,IF(I28=5,F32,""))))))*I29*I30</f>
        <v>0</v>
      </c>
      <c r="I32" s="88">
        <f>IF(I28=1,E28,(IF(I28=2,E29,IF(I28=3,E30,IF(I28=4,E31,IF(I28=5,E32,""))))))</f>
        <v>250</v>
      </c>
      <c r="J32" s="7" t="s">
        <v>35</v>
      </c>
      <c r="K32" s="458"/>
    </row>
    <row r="33" spans="7:11" ht="43.5">
      <c r="G33" s="20"/>
      <c r="H33" s="78">
        <f>IF(SUM(H22,H7,H12,H17,H27,H32)-I4&gt;=0,SUM(H22,H7,H12,H17,H27,H32)-I4,0)</f>
        <v>0</v>
      </c>
      <c r="K33" s="8" t="s">
        <v>74</v>
      </c>
    </row>
  </sheetData>
  <mergeCells count="7">
    <mergeCell ref="B5:B7"/>
    <mergeCell ref="B10:B12"/>
    <mergeCell ref="B15:B17"/>
    <mergeCell ref="K28:K32"/>
    <mergeCell ref="B30:B32"/>
    <mergeCell ref="B20:B22"/>
    <mergeCell ref="B25:B27"/>
  </mergeCells>
  <conditionalFormatting sqref="A23:XFD27">
    <cfRule type="expression" dxfId="246" priority="2">
      <formula>$I$24=0</formula>
    </cfRule>
  </conditionalFormatting>
  <conditionalFormatting sqref="A28:XFD32">
    <cfRule type="expression" dxfId="245" priority="3">
      <formula>$I$30=0</formula>
    </cfRule>
  </conditionalFormatting>
  <pageMargins left="0.7" right="0.7" top="0.78740157499999996" bottom="0.78740157499999996" header="0.3" footer="0.3"/>
  <pageSetup paperSize="9" scale="69" fitToHeight="2" orientation="landscape" horizontalDpi="300"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Group Box 1">
              <controlPr defaultSize="0" autoFill="0" autoPict="0">
                <anchor moveWithCells="1">
                  <from>
                    <xdr:col>6</xdr:col>
                    <xdr:colOff>0</xdr:colOff>
                    <xdr:row>2</xdr:row>
                    <xdr:rowOff>9525</xdr:rowOff>
                  </from>
                  <to>
                    <xdr:col>7</xdr:col>
                    <xdr:colOff>38100</xdr:colOff>
                    <xdr:row>6</xdr:row>
                    <xdr:rowOff>238125</xdr:rowOff>
                  </to>
                </anchor>
              </controlPr>
            </control>
          </mc:Choice>
        </mc:AlternateContent>
        <mc:AlternateContent xmlns:mc="http://schemas.openxmlformats.org/markup-compatibility/2006">
          <mc:Choice Requires="x14">
            <control shapeId="9218" r:id="rId5" name="Option Button 2">
              <controlPr defaultSize="0" autoFill="0" autoLine="0" autoPict="0">
                <anchor moveWithCells="1">
                  <from>
                    <xdr:col>6</xdr:col>
                    <xdr:colOff>152400</xdr:colOff>
                    <xdr:row>2</xdr:row>
                    <xdr:rowOff>38100</xdr:rowOff>
                  </from>
                  <to>
                    <xdr:col>6</xdr:col>
                    <xdr:colOff>457200</xdr:colOff>
                    <xdr:row>2</xdr:row>
                    <xdr:rowOff>295275</xdr:rowOff>
                  </to>
                </anchor>
              </controlPr>
            </control>
          </mc:Choice>
        </mc:AlternateContent>
        <mc:AlternateContent xmlns:mc="http://schemas.openxmlformats.org/markup-compatibility/2006">
          <mc:Choice Requires="x14">
            <control shapeId="9219" r:id="rId6" name="Option Button 3">
              <controlPr defaultSize="0" autoFill="0" autoLine="0" autoPict="0">
                <anchor moveWithCells="1">
                  <from>
                    <xdr:col>6</xdr:col>
                    <xdr:colOff>152400</xdr:colOff>
                    <xdr:row>3</xdr:row>
                    <xdr:rowOff>28575</xdr:rowOff>
                  </from>
                  <to>
                    <xdr:col>7</xdr:col>
                    <xdr:colOff>0</xdr:colOff>
                    <xdr:row>3</xdr:row>
                    <xdr:rowOff>257175</xdr:rowOff>
                  </to>
                </anchor>
              </controlPr>
            </control>
          </mc:Choice>
        </mc:AlternateContent>
        <mc:AlternateContent xmlns:mc="http://schemas.openxmlformats.org/markup-compatibility/2006">
          <mc:Choice Requires="x14">
            <control shapeId="9220" r:id="rId7" name="Option Button 4">
              <controlPr defaultSize="0" autoFill="0" autoLine="0" autoPict="0">
                <anchor moveWithCells="1">
                  <from>
                    <xdr:col>6</xdr:col>
                    <xdr:colOff>152400</xdr:colOff>
                    <xdr:row>4</xdr:row>
                    <xdr:rowOff>38100</xdr:rowOff>
                  </from>
                  <to>
                    <xdr:col>6</xdr:col>
                    <xdr:colOff>390525</xdr:colOff>
                    <xdr:row>4</xdr:row>
                    <xdr:rowOff>257175</xdr:rowOff>
                  </to>
                </anchor>
              </controlPr>
            </control>
          </mc:Choice>
        </mc:AlternateContent>
        <mc:AlternateContent xmlns:mc="http://schemas.openxmlformats.org/markup-compatibility/2006">
          <mc:Choice Requires="x14">
            <control shapeId="9221" r:id="rId8" name="Option Button 5">
              <controlPr defaultSize="0" autoFill="0" autoLine="0" autoPict="0">
                <anchor moveWithCells="1">
                  <from>
                    <xdr:col>6</xdr:col>
                    <xdr:colOff>152400</xdr:colOff>
                    <xdr:row>5</xdr:row>
                    <xdr:rowOff>28575</xdr:rowOff>
                  </from>
                  <to>
                    <xdr:col>7</xdr:col>
                    <xdr:colOff>28575</xdr:colOff>
                    <xdr:row>5</xdr:row>
                    <xdr:rowOff>257175</xdr:rowOff>
                  </to>
                </anchor>
              </controlPr>
            </control>
          </mc:Choice>
        </mc:AlternateContent>
        <mc:AlternateContent xmlns:mc="http://schemas.openxmlformats.org/markup-compatibility/2006">
          <mc:Choice Requires="x14">
            <control shapeId="9222" r:id="rId9" name="Option Button 6">
              <controlPr defaultSize="0" autoFill="0" autoLine="0" autoPict="0">
                <anchor moveWithCells="1">
                  <from>
                    <xdr:col>6</xdr:col>
                    <xdr:colOff>152400</xdr:colOff>
                    <xdr:row>6</xdr:row>
                    <xdr:rowOff>9525</xdr:rowOff>
                  </from>
                  <to>
                    <xdr:col>6</xdr:col>
                    <xdr:colOff>381000</xdr:colOff>
                    <xdr:row>6</xdr:row>
                    <xdr:rowOff>238125</xdr:rowOff>
                  </to>
                </anchor>
              </controlPr>
            </control>
          </mc:Choice>
        </mc:AlternateContent>
        <mc:AlternateContent xmlns:mc="http://schemas.openxmlformats.org/markup-compatibility/2006">
          <mc:Choice Requires="x14">
            <control shapeId="9223" r:id="rId10" name="Group Box 7">
              <controlPr defaultSize="0" autoFill="0" autoPict="0">
                <anchor moveWithCells="1">
                  <from>
                    <xdr:col>6</xdr:col>
                    <xdr:colOff>0</xdr:colOff>
                    <xdr:row>7</xdr:row>
                    <xdr:rowOff>0</xdr:rowOff>
                  </from>
                  <to>
                    <xdr:col>7</xdr:col>
                    <xdr:colOff>38100</xdr:colOff>
                    <xdr:row>12</xdr:row>
                    <xdr:rowOff>9525</xdr:rowOff>
                  </to>
                </anchor>
              </controlPr>
            </control>
          </mc:Choice>
        </mc:AlternateContent>
        <mc:AlternateContent xmlns:mc="http://schemas.openxmlformats.org/markup-compatibility/2006">
          <mc:Choice Requires="x14">
            <control shapeId="9229" r:id="rId11" name="Group Box 13">
              <controlPr defaultSize="0" autoFill="0" autoPict="0">
                <anchor moveWithCells="1">
                  <from>
                    <xdr:col>6</xdr:col>
                    <xdr:colOff>0</xdr:colOff>
                    <xdr:row>11</xdr:row>
                    <xdr:rowOff>361950</xdr:rowOff>
                  </from>
                  <to>
                    <xdr:col>7</xdr:col>
                    <xdr:colOff>38100</xdr:colOff>
                    <xdr:row>17</xdr:row>
                    <xdr:rowOff>9525</xdr:rowOff>
                  </to>
                </anchor>
              </controlPr>
            </control>
          </mc:Choice>
        </mc:AlternateContent>
        <mc:AlternateContent xmlns:mc="http://schemas.openxmlformats.org/markup-compatibility/2006">
          <mc:Choice Requires="x14">
            <control shapeId="9230" r:id="rId12" name="Option Button 14">
              <controlPr defaultSize="0" autoFill="0" autoLine="0" autoPict="0">
                <anchor moveWithCells="1">
                  <from>
                    <xdr:col>6</xdr:col>
                    <xdr:colOff>152400</xdr:colOff>
                    <xdr:row>12</xdr:row>
                    <xdr:rowOff>9525</xdr:rowOff>
                  </from>
                  <to>
                    <xdr:col>6</xdr:col>
                    <xdr:colOff>447675</xdr:colOff>
                    <xdr:row>12</xdr:row>
                    <xdr:rowOff>295275</xdr:rowOff>
                  </to>
                </anchor>
              </controlPr>
            </control>
          </mc:Choice>
        </mc:AlternateContent>
        <mc:AlternateContent xmlns:mc="http://schemas.openxmlformats.org/markup-compatibility/2006">
          <mc:Choice Requires="x14">
            <control shapeId="9231" r:id="rId13" name="Option Button 15">
              <controlPr defaultSize="0" autoFill="0" autoLine="0" autoPict="0">
                <anchor moveWithCells="1">
                  <from>
                    <xdr:col>6</xdr:col>
                    <xdr:colOff>152400</xdr:colOff>
                    <xdr:row>13</xdr:row>
                    <xdr:rowOff>9525</xdr:rowOff>
                  </from>
                  <to>
                    <xdr:col>7</xdr:col>
                    <xdr:colOff>0</xdr:colOff>
                    <xdr:row>14</xdr:row>
                    <xdr:rowOff>9525</xdr:rowOff>
                  </to>
                </anchor>
              </controlPr>
            </control>
          </mc:Choice>
        </mc:AlternateContent>
        <mc:AlternateContent xmlns:mc="http://schemas.openxmlformats.org/markup-compatibility/2006">
          <mc:Choice Requires="x14">
            <control shapeId="9232" r:id="rId14" name="Option Button 16">
              <controlPr defaultSize="0" autoFill="0" autoLine="0" autoPict="0">
                <anchor moveWithCells="1">
                  <from>
                    <xdr:col>6</xdr:col>
                    <xdr:colOff>152400</xdr:colOff>
                    <xdr:row>14</xdr:row>
                    <xdr:rowOff>28575</xdr:rowOff>
                  </from>
                  <to>
                    <xdr:col>6</xdr:col>
                    <xdr:colOff>447675</xdr:colOff>
                    <xdr:row>14</xdr:row>
                    <xdr:rowOff>257175</xdr:rowOff>
                  </to>
                </anchor>
              </controlPr>
            </control>
          </mc:Choice>
        </mc:AlternateContent>
        <mc:AlternateContent xmlns:mc="http://schemas.openxmlformats.org/markup-compatibility/2006">
          <mc:Choice Requires="x14">
            <control shapeId="9233" r:id="rId15" name="Option Button 17">
              <controlPr defaultSize="0" autoFill="0" autoLine="0" autoPict="0">
                <anchor moveWithCells="1">
                  <from>
                    <xdr:col>6</xdr:col>
                    <xdr:colOff>152400</xdr:colOff>
                    <xdr:row>15</xdr:row>
                    <xdr:rowOff>38100</xdr:rowOff>
                  </from>
                  <to>
                    <xdr:col>6</xdr:col>
                    <xdr:colOff>447675</xdr:colOff>
                    <xdr:row>15</xdr:row>
                    <xdr:rowOff>266700</xdr:rowOff>
                  </to>
                </anchor>
              </controlPr>
            </control>
          </mc:Choice>
        </mc:AlternateContent>
        <mc:AlternateContent xmlns:mc="http://schemas.openxmlformats.org/markup-compatibility/2006">
          <mc:Choice Requires="x14">
            <control shapeId="9234" r:id="rId16" name="Option Button 18">
              <controlPr defaultSize="0" autoFill="0" autoLine="0" autoPict="0">
                <anchor moveWithCells="1">
                  <from>
                    <xdr:col>6</xdr:col>
                    <xdr:colOff>152400</xdr:colOff>
                    <xdr:row>16</xdr:row>
                    <xdr:rowOff>28575</xdr:rowOff>
                  </from>
                  <to>
                    <xdr:col>6</xdr:col>
                    <xdr:colOff>409575</xdr:colOff>
                    <xdr:row>16</xdr:row>
                    <xdr:rowOff>257175</xdr:rowOff>
                  </to>
                </anchor>
              </controlPr>
            </control>
          </mc:Choice>
        </mc:AlternateContent>
        <mc:AlternateContent xmlns:mc="http://schemas.openxmlformats.org/markup-compatibility/2006">
          <mc:Choice Requires="x14">
            <control shapeId="9235" r:id="rId17" name="Group Box 19">
              <controlPr defaultSize="0" autoFill="0" autoPict="0">
                <anchor moveWithCells="1">
                  <from>
                    <xdr:col>6</xdr:col>
                    <xdr:colOff>0</xdr:colOff>
                    <xdr:row>17</xdr:row>
                    <xdr:rowOff>0</xdr:rowOff>
                  </from>
                  <to>
                    <xdr:col>7</xdr:col>
                    <xdr:colOff>38100</xdr:colOff>
                    <xdr:row>22</xdr:row>
                    <xdr:rowOff>9525</xdr:rowOff>
                  </to>
                </anchor>
              </controlPr>
            </control>
          </mc:Choice>
        </mc:AlternateContent>
        <mc:AlternateContent xmlns:mc="http://schemas.openxmlformats.org/markup-compatibility/2006">
          <mc:Choice Requires="x14">
            <control shapeId="9236" r:id="rId18" name="Option Button 20">
              <controlPr defaultSize="0" autoFill="0" autoLine="0" autoPict="0">
                <anchor moveWithCells="1">
                  <from>
                    <xdr:col>6</xdr:col>
                    <xdr:colOff>152400</xdr:colOff>
                    <xdr:row>17</xdr:row>
                    <xdr:rowOff>76200</xdr:rowOff>
                  </from>
                  <to>
                    <xdr:col>6</xdr:col>
                    <xdr:colOff>447675</xdr:colOff>
                    <xdr:row>17</xdr:row>
                    <xdr:rowOff>333375</xdr:rowOff>
                  </to>
                </anchor>
              </controlPr>
            </control>
          </mc:Choice>
        </mc:AlternateContent>
        <mc:AlternateContent xmlns:mc="http://schemas.openxmlformats.org/markup-compatibility/2006">
          <mc:Choice Requires="x14">
            <control shapeId="9237" r:id="rId19" name="Option Button 21">
              <controlPr defaultSize="0" autoFill="0" autoLine="0" autoPict="0">
                <anchor moveWithCells="1">
                  <from>
                    <xdr:col>6</xdr:col>
                    <xdr:colOff>152400</xdr:colOff>
                    <xdr:row>18</xdr:row>
                    <xdr:rowOff>0</xdr:rowOff>
                  </from>
                  <to>
                    <xdr:col>6</xdr:col>
                    <xdr:colOff>428625</xdr:colOff>
                    <xdr:row>18</xdr:row>
                    <xdr:rowOff>276225</xdr:rowOff>
                  </to>
                </anchor>
              </controlPr>
            </control>
          </mc:Choice>
        </mc:AlternateContent>
        <mc:AlternateContent xmlns:mc="http://schemas.openxmlformats.org/markup-compatibility/2006">
          <mc:Choice Requires="x14">
            <control shapeId="9238" r:id="rId20" name="Option Button 22">
              <controlPr defaultSize="0" autoFill="0" autoLine="0" autoPict="0">
                <anchor moveWithCells="1">
                  <from>
                    <xdr:col>6</xdr:col>
                    <xdr:colOff>152400</xdr:colOff>
                    <xdr:row>19</xdr:row>
                    <xdr:rowOff>28575</xdr:rowOff>
                  </from>
                  <to>
                    <xdr:col>6</xdr:col>
                    <xdr:colOff>447675</xdr:colOff>
                    <xdr:row>19</xdr:row>
                    <xdr:rowOff>266700</xdr:rowOff>
                  </to>
                </anchor>
              </controlPr>
            </control>
          </mc:Choice>
        </mc:AlternateContent>
        <mc:AlternateContent xmlns:mc="http://schemas.openxmlformats.org/markup-compatibility/2006">
          <mc:Choice Requires="x14">
            <control shapeId="9239" r:id="rId21" name="Option Button 23">
              <controlPr defaultSize="0" autoFill="0" autoLine="0" autoPict="0">
                <anchor moveWithCells="1">
                  <from>
                    <xdr:col>6</xdr:col>
                    <xdr:colOff>152400</xdr:colOff>
                    <xdr:row>20</xdr:row>
                    <xdr:rowOff>38100</xdr:rowOff>
                  </from>
                  <to>
                    <xdr:col>6</xdr:col>
                    <xdr:colOff>447675</xdr:colOff>
                    <xdr:row>20</xdr:row>
                    <xdr:rowOff>257175</xdr:rowOff>
                  </to>
                </anchor>
              </controlPr>
            </control>
          </mc:Choice>
        </mc:AlternateContent>
        <mc:AlternateContent xmlns:mc="http://schemas.openxmlformats.org/markup-compatibility/2006">
          <mc:Choice Requires="x14">
            <control shapeId="9240" r:id="rId22" name="Option Button 24">
              <controlPr defaultSize="0" autoFill="0" autoLine="0" autoPict="0">
                <anchor moveWithCells="1">
                  <from>
                    <xdr:col>6</xdr:col>
                    <xdr:colOff>152400</xdr:colOff>
                    <xdr:row>21</xdr:row>
                    <xdr:rowOff>28575</xdr:rowOff>
                  </from>
                  <to>
                    <xdr:col>6</xdr:col>
                    <xdr:colOff>447675</xdr:colOff>
                    <xdr:row>21</xdr:row>
                    <xdr:rowOff>257175</xdr:rowOff>
                  </to>
                </anchor>
              </controlPr>
            </control>
          </mc:Choice>
        </mc:AlternateContent>
        <mc:AlternateContent xmlns:mc="http://schemas.openxmlformats.org/markup-compatibility/2006">
          <mc:Choice Requires="x14">
            <control shapeId="9241" r:id="rId23" name="Group Box 25">
              <controlPr defaultSize="0" autoFill="0" autoPict="0">
                <anchor moveWithCells="1">
                  <from>
                    <xdr:col>6</xdr:col>
                    <xdr:colOff>0</xdr:colOff>
                    <xdr:row>22</xdr:row>
                    <xdr:rowOff>0</xdr:rowOff>
                  </from>
                  <to>
                    <xdr:col>7</xdr:col>
                    <xdr:colOff>28575</xdr:colOff>
                    <xdr:row>27</xdr:row>
                    <xdr:rowOff>0</xdr:rowOff>
                  </to>
                </anchor>
              </controlPr>
            </control>
          </mc:Choice>
        </mc:AlternateContent>
        <mc:AlternateContent xmlns:mc="http://schemas.openxmlformats.org/markup-compatibility/2006">
          <mc:Choice Requires="x14">
            <control shapeId="9242" r:id="rId24" name="Option Button 26">
              <controlPr defaultSize="0" autoFill="0" autoLine="0" autoPict="0">
                <anchor moveWithCells="1">
                  <from>
                    <xdr:col>6</xdr:col>
                    <xdr:colOff>142875</xdr:colOff>
                    <xdr:row>22</xdr:row>
                    <xdr:rowOff>66675</xdr:rowOff>
                  </from>
                  <to>
                    <xdr:col>6</xdr:col>
                    <xdr:colOff>447675</xdr:colOff>
                    <xdr:row>22</xdr:row>
                    <xdr:rowOff>295275</xdr:rowOff>
                  </to>
                </anchor>
              </controlPr>
            </control>
          </mc:Choice>
        </mc:AlternateContent>
        <mc:AlternateContent xmlns:mc="http://schemas.openxmlformats.org/markup-compatibility/2006">
          <mc:Choice Requires="x14">
            <control shapeId="9243" r:id="rId25" name="Option Button 27">
              <controlPr defaultSize="0" autoFill="0" autoLine="0" autoPict="0">
                <anchor moveWithCells="1">
                  <from>
                    <xdr:col>6</xdr:col>
                    <xdr:colOff>142875</xdr:colOff>
                    <xdr:row>23</xdr:row>
                    <xdr:rowOff>28575</xdr:rowOff>
                  </from>
                  <to>
                    <xdr:col>6</xdr:col>
                    <xdr:colOff>447675</xdr:colOff>
                    <xdr:row>23</xdr:row>
                    <xdr:rowOff>257175</xdr:rowOff>
                  </to>
                </anchor>
              </controlPr>
            </control>
          </mc:Choice>
        </mc:AlternateContent>
        <mc:AlternateContent xmlns:mc="http://schemas.openxmlformats.org/markup-compatibility/2006">
          <mc:Choice Requires="x14">
            <control shapeId="9244" r:id="rId26" name="Option Button 28">
              <controlPr defaultSize="0" autoFill="0" autoLine="0" autoPict="0">
                <anchor moveWithCells="1">
                  <from>
                    <xdr:col>6</xdr:col>
                    <xdr:colOff>142875</xdr:colOff>
                    <xdr:row>24</xdr:row>
                    <xdr:rowOff>47625</xdr:rowOff>
                  </from>
                  <to>
                    <xdr:col>6</xdr:col>
                    <xdr:colOff>381000</xdr:colOff>
                    <xdr:row>24</xdr:row>
                    <xdr:rowOff>257175</xdr:rowOff>
                  </to>
                </anchor>
              </controlPr>
            </control>
          </mc:Choice>
        </mc:AlternateContent>
        <mc:AlternateContent xmlns:mc="http://schemas.openxmlformats.org/markup-compatibility/2006">
          <mc:Choice Requires="x14">
            <control shapeId="9245" r:id="rId27" name="Option Button 29">
              <controlPr defaultSize="0" autoFill="0" autoLine="0" autoPict="0">
                <anchor moveWithCells="1">
                  <from>
                    <xdr:col>6</xdr:col>
                    <xdr:colOff>142875</xdr:colOff>
                    <xdr:row>25</xdr:row>
                    <xdr:rowOff>28575</xdr:rowOff>
                  </from>
                  <to>
                    <xdr:col>6</xdr:col>
                    <xdr:colOff>371475</xdr:colOff>
                    <xdr:row>25</xdr:row>
                    <xdr:rowOff>266700</xdr:rowOff>
                  </to>
                </anchor>
              </controlPr>
            </control>
          </mc:Choice>
        </mc:AlternateContent>
        <mc:AlternateContent xmlns:mc="http://schemas.openxmlformats.org/markup-compatibility/2006">
          <mc:Choice Requires="x14">
            <control shapeId="9246" r:id="rId28" name="Option Button 30">
              <controlPr defaultSize="0" autoFill="0" autoLine="0" autoPict="0">
                <anchor moveWithCells="1">
                  <from>
                    <xdr:col>6</xdr:col>
                    <xdr:colOff>142875</xdr:colOff>
                    <xdr:row>26</xdr:row>
                    <xdr:rowOff>28575</xdr:rowOff>
                  </from>
                  <to>
                    <xdr:col>6</xdr:col>
                    <xdr:colOff>447675</xdr:colOff>
                    <xdr:row>26</xdr:row>
                    <xdr:rowOff>238125</xdr:rowOff>
                  </to>
                </anchor>
              </controlPr>
            </control>
          </mc:Choice>
        </mc:AlternateContent>
        <mc:AlternateContent xmlns:mc="http://schemas.openxmlformats.org/markup-compatibility/2006">
          <mc:Choice Requires="x14">
            <control shapeId="9247" r:id="rId29" name="Group Box 31">
              <controlPr defaultSize="0" autoFill="0" autoPict="0">
                <anchor moveWithCells="1">
                  <from>
                    <xdr:col>6</xdr:col>
                    <xdr:colOff>0</xdr:colOff>
                    <xdr:row>26</xdr:row>
                    <xdr:rowOff>352425</xdr:rowOff>
                  </from>
                  <to>
                    <xdr:col>7</xdr:col>
                    <xdr:colOff>28575</xdr:colOff>
                    <xdr:row>31</xdr:row>
                    <xdr:rowOff>342900</xdr:rowOff>
                  </to>
                </anchor>
              </controlPr>
            </control>
          </mc:Choice>
        </mc:AlternateContent>
        <mc:AlternateContent xmlns:mc="http://schemas.openxmlformats.org/markup-compatibility/2006">
          <mc:Choice Requires="x14">
            <control shapeId="9248" r:id="rId30" name="Option Button 32">
              <controlPr defaultSize="0" autoFill="0" autoLine="0" autoPict="0">
                <anchor moveWithCells="1">
                  <from>
                    <xdr:col>6</xdr:col>
                    <xdr:colOff>142875</xdr:colOff>
                    <xdr:row>27</xdr:row>
                    <xdr:rowOff>85725</xdr:rowOff>
                  </from>
                  <to>
                    <xdr:col>6</xdr:col>
                    <xdr:colOff>447675</xdr:colOff>
                    <xdr:row>27</xdr:row>
                    <xdr:rowOff>333375</xdr:rowOff>
                  </to>
                </anchor>
              </controlPr>
            </control>
          </mc:Choice>
        </mc:AlternateContent>
        <mc:AlternateContent xmlns:mc="http://schemas.openxmlformats.org/markup-compatibility/2006">
          <mc:Choice Requires="x14">
            <control shapeId="9249" r:id="rId31" name="Option Button 33">
              <controlPr defaultSize="0" autoFill="0" autoLine="0" autoPict="0">
                <anchor moveWithCells="1">
                  <from>
                    <xdr:col>6</xdr:col>
                    <xdr:colOff>142875</xdr:colOff>
                    <xdr:row>28</xdr:row>
                    <xdr:rowOff>161925</xdr:rowOff>
                  </from>
                  <to>
                    <xdr:col>6</xdr:col>
                    <xdr:colOff>447675</xdr:colOff>
                    <xdr:row>28</xdr:row>
                    <xdr:rowOff>381000</xdr:rowOff>
                  </to>
                </anchor>
              </controlPr>
            </control>
          </mc:Choice>
        </mc:AlternateContent>
        <mc:AlternateContent xmlns:mc="http://schemas.openxmlformats.org/markup-compatibility/2006">
          <mc:Choice Requires="x14">
            <control shapeId="9250" r:id="rId32" name="Option Button 34">
              <controlPr defaultSize="0" autoFill="0" autoLine="0" autoPict="0">
                <anchor moveWithCells="1">
                  <from>
                    <xdr:col>6</xdr:col>
                    <xdr:colOff>142875</xdr:colOff>
                    <xdr:row>29</xdr:row>
                    <xdr:rowOff>9525</xdr:rowOff>
                  </from>
                  <to>
                    <xdr:col>6</xdr:col>
                    <xdr:colOff>447675</xdr:colOff>
                    <xdr:row>29</xdr:row>
                    <xdr:rowOff>276225</xdr:rowOff>
                  </to>
                </anchor>
              </controlPr>
            </control>
          </mc:Choice>
        </mc:AlternateContent>
        <mc:AlternateContent xmlns:mc="http://schemas.openxmlformats.org/markup-compatibility/2006">
          <mc:Choice Requires="x14">
            <control shapeId="9251" r:id="rId33" name="Option Button 35">
              <controlPr defaultSize="0" autoFill="0" autoLine="0" autoPict="0">
                <anchor moveWithCells="1">
                  <from>
                    <xdr:col>6</xdr:col>
                    <xdr:colOff>142875</xdr:colOff>
                    <xdr:row>30</xdr:row>
                    <xdr:rowOff>38100</xdr:rowOff>
                  </from>
                  <to>
                    <xdr:col>6</xdr:col>
                    <xdr:colOff>447675</xdr:colOff>
                    <xdr:row>30</xdr:row>
                    <xdr:rowOff>257175</xdr:rowOff>
                  </to>
                </anchor>
              </controlPr>
            </control>
          </mc:Choice>
        </mc:AlternateContent>
        <mc:AlternateContent xmlns:mc="http://schemas.openxmlformats.org/markup-compatibility/2006">
          <mc:Choice Requires="x14">
            <control shapeId="9273" r:id="rId34" name="Option Button 57">
              <controlPr defaultSize="0" autoFill="0" autoLine="0" autoPict="0">
                <anchor moveWithCells="1">
                  <from>
                    <xdr:col>6</xdr:col>
                    <xdr:colOff>142875</xdr:colOff>
                    <xdr:row>31</xdr:row>
                    <xdr:rowOff>47625</xdr:rowOff>
                  </from>
                  <to>
                    <xdr:col>6</xdr:col>
                    <xdr:colOff>390525</xdr:colOff>
                    <xdr:row>31</xdr:row>
                    <xdr:rowOff>342900</xdr:rowOff>
                  </to>
                </anchor>
              </controlPr>
            </control>
          </mc:Choice>
        </mc:AlternateContent>
        <mc:AlternateContent xmlns:mc="http://schemas.openxmlformats.org/markup-compatibility/2006">
          <mc:Choice Requires="x14">
            <control shapeId="9275" r:id="rId35" name="Option Button 59">
              <controlPr defaultSize="0" autoFill="0" autoLine="0" autoPict="0">
                <anchor moveWithCells="1">
                  <from>
                    <xdr:col>6</xdr:col>
                    <xdr:colOff>161925</xdr:colOff>
                    <xdr:row>7</xdr:row>
                    <xdr:rowOff>47625</xdr:rowOff>
                  </from>
                  <to>
                    <xdr:col>7</xdr:col>
                    <xdr:colOff>200025</xdr:colOff>
                    <xdr:row>7</xdr:row>
                    <xdr:rowOff>323850</xdr:rowOff>
                  </to>
                </anchor>
              </controlPr>
            </control>
          </mc:Choice>
        </mc:AlternateContent>
        <mc:AlternateContent xmlns:mc="http://schemas.openxmlformats.org/markup-compatibility/2006">
          <mc:Choice Requires="x14">
            <control shapeId="9276" r:id="rId36" name="Option Button 60">
              <controlPr defaultSize="0" autoFill="0" autoLine="0" autoPict="0">
                <anchor moveWithCells="1">
                  <from>
                    <xdr:col>6</xdr:col>
                    <xdr:colOff>161925</xdr:colOff>
                    <xdr:row>8</xdr:row>
                    <xdr:rowOff>28575</xdr:rowOff>
                  </from>
                  <to>
                    <xdr:col>7</xdr:col>
                    <xdr:colOff>200025</xdr:colOff>
                    <xdr:row>9</xdr:row>
                    <xdr:rowOff>28575</xdr:rowOff>
                  </to>
                </anchor>
              </controlPr>
            </control>
          </mc:Choice>
        </mc:AlternateContent>
        <mc:AlternateContent xmlns:mc="http://schemas.openxmlformats.org/markup-compatibility/2006">
          <mc:Choice Requires="x14">
            <control shapeId="9277" r:id="rId37" name="Option Button 61">
              <controlPr defaultSize="0" autoFill="0" autoLine="0" autoPict="0">
                <anchor moveWithCells="1">
                  <from>
                    <xdr:col>6</xdr:col>
                    <xdr:colOff>142875</xdr:colOff>
                    <xdr:row>9</xdr:row>
                    <xdr:rowOff>57150</xdr:rowOff>
                  </from>
                  <to>
                    <xdr:col>7</xdr:col>
                    <xdr:colOff>190500</xdr:colOff>
                    <xdr:row>9</xdr:row>
                    <xdr:rowOff>333375</xdr:rowOff>
                  </to>
                </anchor>
              </controlPr>
            </control>
          </mc:Choice>
        </mc:AlternateContent>
        <mc:AlternateContent xmlns:mc="http://schemas.openxmlformats.org/markup-compatibility/2006">
          <mc:Choice Requires="x14">
            <control shapeId="9278" r:id="rId38" name="Option Button 62">
              <controlPr defaultSize="0" autoFill="0" autoLine="0" autoPict="0">
                <anchor moveWithCells="1">
                  <from>
                    <xdr:col>6</xdr:col>
                    <xdr:colOff>161925</xdr:colOff>
                    <xdr:row>10</xdr:row>
                    <xdr:rowOff>19050</xdr:rowOff>
                  </from>
                  <to>
                    <xdr:col>7</xdr:col>
                    <xdr:colOff>200025</xdr:colOff>
                    <xdr:row>11</xdr:row>
                    <xdr:rowOff>0</xdr:rowOff>
                  </to>
                </anchor>
              </controlPr>
            </control>
          </mc:Choice>
        </mc:AlternateContent>
        <mc:AlternateContent xmlns:mc="http://schemas.openxmlformats.org/markup-compatibility/2006">
          <mc:Choice Requires="x14">
            <control shapeId="9279" r:id="rId39" name="Option Button 63">
              <controlPr defaultSize="0" autoFill="0" autoLine="0" autoPict="0">
                <anchor moveWithCells="1">
                  <from>
                    <xdr:col>6</xdr:col>
                    <xdr:colOff>161925</xdr:colOff>
                    <xdr:row>11</xdr:row>
                    <xdr:rowOff>28575</xdr:rowOff>
                  </from>
                  <to>
                    <xdr:col>7</xdr:col>
                    <xdr:colOff>200025</xdr:colOff>
                    <xdr:row>11</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AY67"/>
  <sheetViews>
    <sheetView zoomScale="90" zoomScaleNormal="90" workbookViewId="0">
      <pane ySplit="2" topLeftCell="A43" activePane="bottomLeft" state="frozen"/>
      <selection pane="bottomLeft" activeCell="B3" sqref="B3"/>
    </sheetView>
  </sheetViews>
  <sheetFormatPr baseColWidth="10" defaultColWidth="11.42578125" defaultRowHeight="21.75" customHeight="1"/>
  <cols>
    <col min="1" max="1" width="4.42578125" style="9" customWidth="1"/>
    <col min="2" max="2" width="48.5703125" style="9" customWidth="1"/>
    <col min="3" max="3" width="10.7109375" style="62" customWidth="1"/>
    <col min="4" max="4" width="80.85546875" style="20" customWidth="1"/>
    <col min="5" max="5" width="18" style="20" customWidth="1"/>
    <col min="6" max="6" width="12.42578125" style="3" customWidth="1"/>
    <col min="7" max="7" width="7.42578125" style="3" customWidth="1"/>
    <col min="8" max="8" width="12.42578125" style="3" customWidth="1"/>
    <col min="9" max="10" width="14.42578125" style="7" hidden="1" customWidth="1"/>
    <col min="11" max="11" width="29.85546875" style="7" hidden="1" customWidth="1"/>
    <col min="12" max="12" width="41.85546875" style="3" customWidth="1"/>
    <col min="13" max="16384" width="11.42578125" style="3"/>
  </cols>
  <sheetData>
    <row r="1" spans="1:51" s="2" customFormat="1" ht="21.75" customHeight="1">
      <c r="A1" s="98" t="s">
        <v>28</v>
      </c>
      <c r="B1" s="74"/>
      <c r="C1" s="63" t="s">
        <v>75</v>
      </c>
      <c r="D1" s="75"/>
      <c r="E1" s="75"/>
      <c r="F1" s="76"/>
      <c r="G1" s="218" t="s">
        <v>10</v>
      </c>
      <c r="H1" s="117">
        <f>'4_Nachweiserbringung'!F91</f>
        <v>0</v>
      </c>
      <c r="I1" s="64"/>
      <c r="J1" s="64"/>
      <c r="K1" s="64"/>
      <c r="L1" s="77"/>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1"/>
      <c r="AY1" s="1"/>
    </row>
    <row r="2" spans="1:51" s="4" customFormat="1" ht="66" customHeight="1">
      <c r="A2" s="79" t="s">
        <v>11</v>
      </c>
      <c r="B2" s="80" t="s">
        <v>12</v>
      </c>
      <c r="C2" s="81" t="s">
        <v>13</v>
      </c>
      <c r="D2" s="82" t="s">
        <v>14</v>
      </c>
      <c r="E2" s="82" t="s">
        <v>76</v>
      </c>
      <c r="F2" s="82" t="s">
        <v>16</v>
      </c>
      <c r="G2" s="81" t="s">
        <v>17</v>
      </c>
      <c r="H2" s="82" t="s">
        <v>77</v>
      </c>
      <c r="I2" s="83" t="s">
        <v>78</v>
      </c>
      <c r="J2" s="83" t="s">
        <v>19</v>
      </c>
      <c r="K2" s="84" t="s">
        <v>14</v>
      </c>
      <c r="L2" s="85" t="s">
        <v>20</v>
      </c>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row>
    <row r="3" spans="1:51" ht="26.25" customHeight="1">
      <c r="A3" s="221">
        <v>7</v>
      </c>
      <c r="B3" s="226" t="s">
        <v>79</v>
      </c>
      <c r="C3" s="66">
        <v>0</v>
      </c>
      <c r="D3" s="59" t="s">
        <v>22</v>
      </c>
      <c r="E3" s="48">
        <f>ROUND(MID($B$4,11,4),2)</f>
        <v>10.1</v>
      </c>
      <c r="F3" s="44">
        <v>0</v>
      </c>
      <c r="G3" s="29"/>
      <c r="H3" s="30"/>
      <c r="J3" s="7">
        <v>1</v>
      </c>
      <c r="K3" s="87" t="s">
        <v>23</v>
      </c>
      <c r="L3" s="462" t="str">
        <f>IF(OR(J33=1, AND(J33&gt;1, OR(J3&lt;=1, J3=J33), OR(J8&lt;=1, J8=J33), OR(J13&lt;=1, J13=J33), OR(J18&lt;=1, J18=J33), OR(J28&lt;=1, J28=J33), OR(J38&lt;=1, J38=J33),OR(J43&lt;=1, J43=J33), OR(J48&lt;=1, J48=J33), OR(J53&lt;=1, J53=J33))), "", "Achtung: Wenn Option 13 ausgewählt wird, muss bei den Optionen 7 bis 10, 12 und 14 bis 17 zwingend überall eine einheitliche Intensität (z. B. immer Intensität A) ausgewählt werden. Ansonsten ist Option 13 nicht wählbar.")</f>
        <v/>
      </c>
    </row>
    <row r="4" spans="1:51" ht="21.75" customHeight="1">
      <c r="A4" s="223"/>
      <c r="B4" s="224" t="s">
        <v>80</v>
      </c>
      <c r="C4" s="66" t="s">
        <v>8</v>
      </c>
      <c r="D4" s="60" t="s">
        <v>81</v>
      </c>
      <c r="E4" s="46">
        <f>ROUND(MID($B$4,11,4),2)-ROUND(MID($B$4,11,4)*LEFT(D4,2)/100,2)</f>
        <v>7.57</v>
      </c>
      <c r="F4" s="10">
        <f>F5/2</f>
        <v>4.5999999999999999E-2</v>
      </c>
      <c r="G4" s="6"/>
      <c r="H4" s="11"/>
      <c r="I4" s="7">
        <f>IF(AND('3E_Vegan_Vegetarisch'!J3=1,'3E_Vegan_Vegetarisch'!J8=1,'3E_Vegan_Vegetarisch'!J13=1,'3E_Vegan_Vegetarisch'!J18=1),1,IF(AND('3E_Vegan_Vegetarisch'!J3&gt;1,'3E_Vegan_Vegetarisch'!J8=1,'3E_Vegan_Vegetarisch'!J13=1,'3E_Vegan_Vegetarisch'!J18=1),IF(AND('3E_Vegan_Vegetarisch'!J3&gt;1,'3E_Vegan_Vegetarisch'!J8=1,'3E_Vegan_Vegetarisch'!J13=1,'3E_Vegan_Vegetarisch'!J18=1),IF('3E_Vegan_Vegetarisch'!J3=2,0.75,IF('3E_Vegan_Vegetarisch'!J3=3,0.5,IF('3E_Vegan_Vegetarisch'!J3=4,0.25,IF('3E_Vegan_Vegetarisch'!J3=5,0,1))))),IF(AND('3E_Vegan_Vegetarisch'!J3=1,'3E_Vegan_Vegetarisch'!J8&gt;1,'3E_Vegan_Vegetarisch'!J13=1,'3E_Vegan_Vegetarisch'!J18=1),IF(AND('3E_Vegan_Vegetarisch'!J3=1,'3E_Vegan_Vegetarisch'!J8&gt;1,'3E_Vegan_Vegetarisch'!J13=1,'3E_Vegan_Vegetarisch'!J18=1),IF('3E_Vegan_Vegetarisch'!J8=2,0.75,IF('3E_Vegan_Vegetarisch'!J8=3,0.5,IF('3E_Vegan_Vegetarisch'!J8=4,0.25,IF('3E_Vegan_Vegetarisch'!J8=5,0,1))))),IF(AND('3E_Vegan_Vegetarisch'!J3=1,'3E_Vegan_Vegetarisch'!J8=1,'3E_Vegan_Vegetarisch'!J13&gt;1,'3E_Vegan_Vegetarisch'!J18=1),IF(AND('3E_Vegan_Vegetarisch'!J3=1,'3E_Vegan_Vegetarisch'!J8=1,'3E_Vegan_Vegetarisch'!J13&gt;1,'3E_Vegan_Vegetarisch'!J18=1),IF('3E_Vegan_Vegetarisch'!J13=2,0.75,IF('3E_Vegan_Vegetarisch'!J13=3,0.5,IF('3E_Vegan_Vegetarisch'!J13=4,0.25,IF('3E_Vegan_Vegetarisch'!J13=5,0,1))))),IF(AND('3E_Vegan_Vegetarisch'!J3=1,'3E_Vegan_Vegetarisch'!J8=1,'3E_Vegan_Vegetarisch'!J13=1,'3E_Vegan_Vegetarisch'!J18&gt;1),IF(AND('3E_Vegan_Vegetarisch'!J3=1,'3E_Vegan_Vegetarisch'!J8=1,'3E_Vegan_Vegetarisch'!J13=1,'3E_Vegan_Vegetarisch'!J18&gt;1),IF('3E_Vegan_Vegetarisch'!J18=2,0.75,IF('3E_Vegan_Vegetarisch'!J18=3,0.5,IF('3E_Vegan_Vegetarisch'!J18=4,0.25,IF('3E_Vegan_Vegetarisch'!J18=5,0,1))))),1)))))</f>
        <v>1</v>
      </c>
      <c r="J4" s="302">
        <v>1</v>
      </c>
      <c r="K4" s="7" t="s">
        <v>82</v>
      </c>
      <c r="L4" s="463"/>
    </row>
    <row r="5" spans="1:51" ht="21.75" customHeight="1">
      <c r="A5" s="223"/>
      <c r="B5" s="454" t="s">
        <v>83</v>
      </c>
      <c r="C5" s="66" t="s">
        <v>28</v>
      </c>
      <c r="D5" s="60" t="s">
        <v>84</v>
      </c>
      <c r="E5" s="46">
        <f>ROUND(MID($B$4,11,4),2)-ROUND(MID($B$4,11,4)*LEFT(D5,2)/100,2)</f>
        <v>5.05</v>
      </c>
      <c r="F5" s="10">
        <v>9.1999999999999998E-2</v>
      </c>
      <c r="G5" s="6"/>
      <c r="H5" s="11"/>
      <c r="J5" s="302">
        <f>IF(J4&gt;0,((Variable7+Variable8+Variable9+Variable10+Variable12+Variable13+Variable14+Variable15+Variable16+Variable17)/J4-B_TOT)+Variable11+Variable18,0)</f>
        <v>0</v>
      </c>
      <c r="K5" s="7" t="s">
        <v>30</v>
      </c>
      <c r="L5" s="463"/>
    </row>
    <row r="6" spans="1:51" ht="21.75" customHeight="1">
      <c r="A6" s="223"/>
      <c r="B6" s="454"/>
      <c r="C6" s="66" t="s">
        <v>31</v>
      </c>
      <c r="D6" s="60" t="s">
        <v>85</v>
      </c>
      <c r="E6" s="46">
        <f>ROUND(MID($B$4,11,4),2)-ROUND(MID($B$4,11,4)*LEFT(D6,2)/100,2)</f>
        <v>2.0199999999999996</v>
      </c>
      <c r="F6" s="10">
        <f>F5*2*0.8</f>
        <v>0.1472</v>
      </c>
      <c r="G6" s="6"/>
      <c r="H6" s="11"/>
      <c r="L6" s="464"/>
    </row>
    <row r="7" spans="1:51" ht="21.75" customHeight="1">
      <c r="A7" s="225"/>
      <c r="B7" s="455"/>
      <c r="C7" s="67" t="s">
        <v>33</v>
      </c>
      <c r="D7" s="61" t="s">
        <v>86</v>
      </c>
      <c r="E7" s="47">
        <f>ROUND(MID($B$4,11,4),2)-ROUND(MID($B$4,11,4)*LEFT(D7,2)/10,3)</f>
        <v>0</v>
      </c>
      <c r="F7" s="14">
        <f>F5*2</f>
        <v>0.184</v>
      </c>
      <c r="G7" s="15"/>
      <c r="H7" s="16">
        <f>IF(OR(AND(J3&gt;3,J8&gt;3),AND(J3&gt;3,J8&gt;1),AND(J8&gt;3,J3&gt;1),AND(J3&gt;2,J8&gt;3),AND(J8&gt;2,J3&gt;3)),0,IF(J3=1,F3,(IF(J3=2,F4,IF(J3=3,F5,IF(J3=4,F6,IF(J3=5,F7,"")))))))*J4</f>
        <v>0</v>
      </c>
      <c r="I7" s="304" t="s">
        <v>87</v>
      </c>
      <c r="J7" s="50">
        <f>IF(J3=1,0,IF(J3=2,0.25,IF(J3=3,0.5,IF(J3=4,0.8,IF(J3,1,0)))))</f>
        <v>0</v>
      </c>
      <c r="K7" s="51" t="s">
        <v>35</v>
      </c>
      <c r="L7" s="55"/>
    </row>
    <row r="8" spans="1:51" s="8" customFormat="1" ht="36" customHeight="1">
      <c r="A8" s="89">
        <v>8</v>
      </c>
      <c r="B8" s="17" t="s">
        <v>442</v>
      </c>
      <c r="C8" s="68">
        <v>0</v>
      </c>
      <c r="D8" s="18" t="s">
        <v>22</v>
      </c>
      <c r="E8" s="18">
        <f>ROUND(MID($B$9,11,4),2)</f>
        <v>10.1</v>
      </c>
      <c r="F8" s="90">
        <v>0</v>
      </c>
      <c r="H8" s="19"/>
      <c r="I8" s="87"/>
      <c r="J8" s="87">
        <v>1</v>
      </c>
      <c r="K8" s="87" t="s">
        <v>23</v>
      </c>
      <c r="L8" s="490" t="str">
        <f>IF(OR(J33=1, AND(J33&gt;1, OR(J3&lt;=1, J3=J33), OR(J8&lt;=1, J8=J33), OR(J13&lt;=1, J13=J33), OR(J18&lt;=1, J18=J33), OR(J28&lt;=1, J28=J33), OR(J38&lt;=1, J38=J33),OR(J43&lt;=1, J43=J33), OR(J48&lt;=1, J48=J33), OR(J53&lt;=1, J53=J33))), "", "Achtung: Wenn Option 13 ausgewählt wird, muss bei den Optionen 7 bis 10, 12 und 14 bis 17 zwingend überall eine einheitliche Intensität (z. B. immer Intensität A) ausgewählt werden. Ansonsten ist Option 13 nicht wählbar.")</f>
        <v/>
      </c>
    </row>
    <row r="9" spans="1:51" ht="36" customHeight="1">
      <c r="A9" s="72"/>
      <c r="B9" s="91" t="s">
        <v>80</v>
      </c>
      <c r="C9" s="69" t="s">
        <v>8</v>
      </c>
      <c r="D9" s="298" t="s">
        <v>444</v>
      </c>
      <c r="E9" s="18">
        <f>ROUND(MID($B$9,11,4),2)-ROUND(MID($B$9,11,4)*LEFT(D9,2)/100,2)</f>
        <v>7.57</v>
      </c>
      <c r="F9" s="92">
        <f>F10/2</f>
        <v>7.6950000000000005E-2</v>
      </c>
      <c r="H9" s="21"/>
      <c r="J9" s="7">
        <f>IF(J7+J12+J17&gt;1,1,0)</f>
        <v>0</v>
      </c>
      <c r="K9" s="7" t="s">
        <v>88</v>
      </c>
      <c r="L9" s="491"/>
    </row>
    <row r="10" spans="1:51" ht="36" customHeight="1">
      <c r="A10" s="72"/>
      <c r="B10" s="452" t="s">
        <v>89</v>
      </c>
      <c r="C10" s="69" t="s">
        <v>28</v>
      </c>
      <c r="D10" s="20" t="s">
        <v>447</v>
      </c>
      <c r="E10" s="18">
        <f>ROUND(MID($B$9,11,4),2)-ROUND(MID($B$9,11,4)*LEFT(D10,2)/100,2)</f>
        <v>5.05</v>
      </c>
      <c r="F10" s="92">
        <v>0.15390000000000001</v>
      </c>
      <c r="H10" s="21"/>
      <c r="L10" s="492" t="s">
        <v>450</v>
      </c>
    </row>
    <row r="11" spans="1:51" ht="36" customHeight="1">
      <c r="A11" s="72"/>
      <c r="B11" s="452"/>
      <c r="C11" s="69" t="s">
        <v>31</v>
      </c>
      <c r="D11" s="20" t="s">
        <v>448</v>
      </c>
      <c r="E11" s="18">
        <f>ROUND(MID($B$9,11,4),2)-ROUND(MID($B$9,11,4)*LEFT(D11,2)/100,2)</f>
        <v>2.0199999999999996</v>
      </c>
      <c r="F11" s="93">
        <f>F10*2*0.8</f>
        <v>0.24624000000000001</v>
      </c>
      <c r="H11" s="21"/>
      <c r="L11" s="483"/>
    </row>
    <row r="12" spans="1:51" ht="36" customHeight="1">
      <c r="A12" s="73"/>
      <c r="B12" s="453"/>
      <c r="C12" s="70" t="s">
        <v>33</v>
      </c>
      <c r="D12" s="22" t="s">
        <v>449</v>
      </c>
      <c r="E12" s="22">
        <f>ROUND(MID($B$9,11,4),2)-ROUND(MID($B$9,11,4)*LEFT(D12,3)/100,2)</f>
        <v>0</v>
      </c>
      <c r="F12" s="24">
        <f>F10*2</f>
        <v>0.30780000000000002</v>
      </c>
      <c r="G12" s="25"/>
      <c r="H12" s="26">
        <f>IF(J8=1,F8,(IF(J8=2,F9,IF(J8=3,F10,IF(J8=4,F11,IF(J8=5,F12,""))))))*J4</f>
        <v>0</v>
      </c>
      <c r="I12" s="304">
        <f>10.1-IF(J8=1,E8,IF(J8=2,E9,IF(J8=3,E10,IF(J8=4,E11,IF(J8=5,E12,"")))))</f>
        <v>0</v>
      </c>
      <c r="J12" s="50">
        <f>IF(J8=1,0,IF(J8=2,0.25,IF(J8=3,0.5,IF(J8=4,0.8,IF(J8,1,0)))))</f>
        <v>0</v>
      </c>
      <c r="K12" s="51" t="s">
        <v>35</v>
      </c>
      <c r="L12" s="493"/>
    </row>
    <row r="13" spans="1:51" ht="40.5" customHeight="1">
      <c r="A13" s="221">
        <v>9</v>
      </c>
      <c r="B13" s="222" t="s">
        <v>90</v>
      </c>
      <c r="C13" s="65">
        <v>0</v>
      </c>
      <c r="D13" s="59" t="s">
        <v>22</v>
      </c>
      <c r="E13" s="27">
        <f>ROUND(MID($B$14,11,4),2)</f>
        <v>17.899999999999999</v>
      </c>
      <c r="F13" s="28">
        <v>0</v>
      </c>
      <c r="G13" s="29"/>
      <c r="H13" s="30"/>
      <c r="J13" s="7">
        <v>1</v>
      </c>
      <c r="K13" s="87" t="s">
        <v>23</v>
      </c>
      <c r="L13" s="462" t="str">
        <f>IF(OR(J33=1, AND(J33&gt;1, OR(J3&lt;=1, J3=J33), OR(J8&lt;=1, J8=J33), OR(J13&lt;=1, J13=J33), OR(J18&lt;=1, J18=J33), OR(J28&lt;=1, J28=J33), OR(J38&lt;=1, J38=J33),OR(J43&lt;=1, J43=J33), OR(J48&lt;=1, J48=J33), OR(J53&lt;=1, J53=J33))), "", "Achtung: Wenn Option 13 ausgewählt wird, muss bei den Optionen 7 bis 10, 12 und 14 bis 17 zwingend überall eine einheitliche Intensität (z. B. immer Intensität A) ausgewählt werden. Ansonsten ist Option 13 nicht wählbar.")</f>
        <v/>
      </c>
    </row>
    <row r="14" spans="1:51" ht="21.75" customHeight="1">
      <c r="A14" s="223"/>
      <c r="B14" s="224" t="s">
        <v>91</v>
      </c>
      <c r="C14" s="66" t="s">
        <v>8</v>
      </c>
      <c r="D14" s="60" t="s">
        <v>92</v>
      </c>
      <c r="E14" s="5">
        <f>ROUND(MID($B$14,11,4),2)-ROUND(MID($B$14,11,4)*LEFT(D14,2)/100,2)</f>
        <v>13.419999999999998</v>
      </c>
      <c r="F14" s="31">
        <f>F15/2</f>
        <v>6.5500000000000003E-2</v>
      </c>
      <c r="G14" s="6"/>
      <c r="H14" s="11"/>
      <c r="L14" s="463"/>
    </row>
    <row r="15" spans="1:51" ht="21.75" customHeight="1">
      <c r="A15" s="223"/>
      <c r="B15" s="454" t="s">
        <v>93</v>
      </c>
      <c r="C15" s="66" t="s">
        <v>28</v>
      </c>
      <c r="D15" s="60" t="s">
        <v>94</v>
      </c>
      <c r="E15" s="5">
        <f>ROUND(MID($B$14,11,4),2)-ROUND(MID($B$14,11,4)*LEFT(D15,2)/100,2)</f>
        <v>8.9499999999999993</v>
      </c>
      <c r="F15" s="31">
        <v>0.13100000000000001</v>
      </c>
      <c r="G15" s="6"/>
      <c r="H15" s="11"/>
      <c r="L15" s="463"/>
    </row>
    <row r="16" spans="1:51" ht="21.75" customHeight="1">
      <c r="A16" s="223"/>
      <c r="B16" s="454"/>
      <c r="C16" s="66" t="s">
        <v>31</v>
      </c>
      <c r="D16" s="60" t="s">
        <v>95</v>
      </c>
      <c r="E16" s="5">
        <f>ROUND(MID($B$14,11,4),2)-ROUND(MID($B$14,11,4)*LEFT(D16,2)/100,2)</f>
        <v>3.5799999999999983</v>
      </c>
      <c r="F16" s="31">
        <f>F15*0.8*2</f>
        <v>0.20960000000000001</v>
      </c>
      <c r="G16" s="6"/>
      <c r="H16" s="11"/>
      <c r="L16" s="464"/>
    </row>
    <row r="17" spans="1:12" ht="21.75" customHeight="1">
      <c r="A17" s="225"/>
      <c r="B17" s="455"/>
      <c r="C17" s="67" t="s">
        <v>33</v>
      </c>
      <c r="D17" s="61" t="s">
        <v>96</v>
      </c>
      <c r="E17" s="13">
        <f>ROUND(MID($B$14,11,4),2)-ROUND(MID($B$14,11,4)*LEFT(D17,3)/100,2)</f>
        <v>0</v>
      </c>
      <c r="F17" s="32">
        <f>F15*2</f>
        <v>0.26200000000000001</v>
      </c>
      <c r="G17" s="15"/>
      <c r="H17" s="16">
        <f>IF(J17+J12+J7&gt;1,0,IF(J13=1,F13,(IF(J13=2,F14,IF(J13=3,F15,IF(J13=4,F16,IF(J13=5,F17,"")))))))*J4</f>
        <v>0</v>
      </c>
      <c r="I17" s="304" t="s">
        <v>87</v>
      </c>
      <c r="J17" s="50">
        <f>IF(J13=1,0,IF(J13=2,0.25,IF(J13=3,0.5,IF(J13=4,0.8,IF(J13,1,0)))))</f>
        <v>0</v>
      </c>
      <c r="K17" s="51" t="s">
        <v>35</v>
      </c>
      <c r="L17" s="205"/>
    </row>
    <row r="18" spans="1:12" ht="39" customHeight="1">
      <c r="A18" s="72">
        <v>10</v>
      </c>
      <c r="B18" s="33" t="s">
        <v>97</v>
      </c>
      <c r="C18" s="71">
        <v>0</v>
      </c>
      <c r="D18" s="20" t="s">
        <v>22</v>
      </c>
      <c r="E18" s="94">
        <f>ROUND(MID($B$19,11,3),2)</f>
        <v>8.1</v>
      </c>
      <c r="F18" s="93">
        <v>0</v>
      </c>
      <c r="H18" s="21"/>
      <c r="J18" s="7">
        <v>1</v>
      </c>
      <c r="K18" s="87" t="s">
        <v>23</v>
      </c>
      <c r="L18" s="490" t="str">
        <f>IF(OR(J33=1, AND(J33&gt;1, OR(J3&lt;=1, J3=J33), OR(J8&lt;=1, J8=J33), OR(J13&lt;=1, J13=J33), OR(J18&lt;=1, J18=J33), OR(J28&lt;=1, J28=J33), OR(J38&lt;=1, J38=J33),OR(J43&lt;=1, J43=J33), OR(J48&lt;=1, J48=J33), OR(J53&lt;=1, J53=J33))), "", "Achtung: Wenn Option 13 ausgewählt wird, muss bei den Optionen 7 bis 10, 12 und 14 bis 17 zwingend überall eine einheitliche Intensität (z. B. immer Intensität A) ausgewählt werden. Ansonsten ist Option 13 nicht wählbar.")</f>
        <v/>
      </c>
    </row>
    <row r="19" spans="1:12" ht="39" customHeight="1">
      <c r="A19" s="72"/>
      <c r="B19" s="91" t="s">
        <v>98</v>
      </c>
      <c r="C19" s="69" t="s">
        <v>8</v>
      </c>
      <c r="D19" s="20" t="s">
        <v>99</v>
      </c>
      <c r="E19" s="95">
        <f>ROUND(MID($B$19,11,3),2)-ROUND(MID($B$19,11,3)*LEFT(D19,2)/100,2)</f>
        <v>6.07</v>
      </c>
      <c r="F19" s="93">
        <f>F22*0.25</f>
        <v>4.8000000000000001E-2</v>
      </c>
      <c r="H19" s="21"/>
      <c r="L19" s="491"/>
    </row>
    <row r="20" spans="1:12" ht="39" customHeight="1">
      <c r="A20" s="72"/>
      <c r="B20" s="466" t="s">
        <v>100</v>
      </c>
      <c r="C20" s="69" t="s">
        <v>28</v>
      </c>
      <c r="D20" s="20" t="s">
        <v>101</v>
      </c>
      <c r="E20" s="95">
        <f>ROUND(MID($B$19,11,3),2)-ROUND(MID($B$19,11,3)*LEFT(D20,2)/100,2)</f>
        <v>4.05</v>
      </c>
      <c r="F20" s="93">
        <f>F22*0.5</f>
        <v>9.6000000000000002E-2</v>
      </c>
      <c r="H20" s="21"/>
      <c r="L20" s="492" t="s">
        <v>399</v>
      </c>
    </row>
    <row r="21" spans="1:12" ht="39" customHeight="1">
      <c r="A21" s="72"/>
      <c r="B21" s="467"/>
      <c r="C21" s="69" t="s">
        <v>31</v>
      </c>
      <c r="D21" s="20" t="s">
        <v>102</v>
      </c>
      <c r="E21" s="95">
        <f>ROUND(MID($B$19,11,3),2)-ROUND(MID($B$19,11,3)*LEFT(D21,2)/100,2)</f>
        <v>1.6199999999999992</v>
      </c>
      <c r="F21" s="93">
        <f>F22*0.8</f>
        <v>0.15360000000000001</v>
      </c>
      <c r="H21" s="21"/>
      <c r="L21" s="483"/>
    </row>
    <row r="22" spans="1:12" ht="39" customHeight="1">
      <c r="A22" s="73"/>
      <c r="B22" s="468"/>
      <c r="C22" s="70" t="s">
        <v>33</v>
      </c>
      <c r="D22" s="22" t="s">
        <v>103</v>
      </c>
      <c r="E22" s="22">
        <f>ROUND(MID($B$19,11,3),2)-ROUND(MID($B$19,11,3)*LEFT(D22,3)/100,2)</f>
        <v>0</v>
      </c>
      <c r="F22" s="24">
        <v>0.192</v>
      </c>
      <c r="G22" s="25"/>
      <c r="H22" s="26">
        <f>IF(J18=1,F18,(IF(J18=2,F19,IF(J18=3,F20,IF(J18=4,F21,IF(J18=5,F22,""))))))*IF(J13=2,0.75,IF(J13=3,0.5,IF(J13=4,0.2,IF(J13=5,0,1))))*IF(J8=2,0.75,IF(J8=3,0.5,IF(J8=4,0.2,IF(J8=5,0,1))))*IF(J3=2,0.75,IF(J3=3,0.5,IF(J3=4,0.2,IF(J3=5,0,1))))*J4</f>
        <v>0</v>
      </c>
      <c r="I22" s="304" t="s">
        <v>87</v>
      </c>
      <c r="J22" s="50">
        <f>IF(J18=1,E18,(IF(J18=2,E19,IF(J18=3,E20,IF(J18=4,E21,IF(J18=5,E22,""))))))</f>
        <v>8.1</v>
      </c>
      <c r="K22" s="51" t="s">
        <v>35</v>
      </c>
      <c r="L22" s="493"/>
    </row>
    <row r="23" spans="1:12" ht="31.5" customHeight="1">
      <c r="A23" s="228">
        <v>11</v>
      </c>
      <c r="B23" s="232" t="s">
        <v>104</v>
      </c>
      <c r="C23" s="65">
        <v>0</v>
      </c>
      <c r="D23" s="59" t="s">
        <v>22</v>
      </c>
      <c r="E23" s="27">
        <f>ROUND(MID($B$24,11,2),2)</f>
        <v>56</v>
      </c>
      <c r="F23" s="34">
        <v>0</v>
      </c>
      <c r="G23" s="29"/>
      <c r="H23" s="30"/>
      <c r="J23" s="7">
        <v>1</v>
      </c>
      <c r="K23" s="87" t="s">
        <v>23</v>
      </c>
      <c r="L23" s="496" t="s">
        <v>455</v>
      </c>
    </row>
    <row r="24" spans="1:12" ht="31.5" customHeight="1">
      <c r="A24" s="223"/>
      <c r="B24" s="224" t="s">
        <v>105</v>
      </c>
      <c r="C24" s="66" t="s">
        <v>8</v>
      </c>
      <c r="D24" s="299" t="s">
        <v>451</v>
      </c>
      <c r="E24" s="5">
        <f>ROUND(MID($B$24,11,2),2)-ROUND(MID($B$24,11,2)*LEFT(D24,2)/100,2)</f>
        <v>42</v>
      </c>
      <c r="F24" s="35">
        <f>F27*0.25</f>
        <v>0.112925</v>
      </c>
      <c r="G24" s="6"/>
      <c r="H24" s="11"/>
      <c r="J24" s="7">
        <f>IF(OR(J18&gt;1,J13&gt;1,J8&gt;1,J3&gt;1),2,IF(J23&gt;1,3,1))</f>
        <v>1</v>
      </c>
      <c r="K24" s="7" t="s">
        <v>106</v>
      </c>
      <c r="L24" s="497"/>
    </row>
    <row r="25" spans="1:12" ht="31.5" customHeight="1">
      <c r="A25" s="223"/>
      <c r="B25" s="454" t="s">
        <v>107</v>
      </c>
      <c r="C25" s="66" t="s">
        <v>28</v>
      </c>
      <c r="D25" s="60" t="s">
        <v>452</v>
      </c>
      <c r="E25" s="5">
        <f>ROUND(MID($B$24,11,2),2)-ROUND(MID($B$24,11,2)*LEFT(D25,2)/100,2)</f>
        <v>28</v>
      </c>
      <c r="F25" s="35">
        <f>F27*0.5</f>
        <v>0.22585</v>
      </c>
      <c r="G25" s="6"/>
      <c r="H25" s="11"/>
      <c r="J25" s="7">
        <f>IF(OR(J3&gt;1,J8&gt;1,J13&gt;1,J18&gt;1,J28&gt;1,J33&gt;1,J38&gt;1,J43&gt;1,J48&gt;1,J58&gt;1),0,1)</f>
        <v>1</v>
      </c>
      <c r="K25" s="7" t="s">
        <v>108</v>
      </c>
      <c r="L25" s="497"/>
    </row>
    <row r="26" spans="1:12" ht="31.5" customHeight="1">
      <c r="A26" s="223"/>
      <c r="B26" s="454"/>
      <c r="C26" s="66" t="s">
        <v>31</v>
      </c>
      <c r="D26" s="60" t="s">
        <v>453</v>
      </c>
      <c r="E26" s="5">
        <f>ROUND(MID($B$24,11,2),2)-ROUND(MID($B$24,11,2)*LEFT(D26,2)/100,2)</f>
        <v>11.200000000000003</v>
      </c>
      <c r="F26" s="35">
        <f>F27*0.8</f>
        <v>0.36136000000000001</v>
      </c>
      <c r="G26" s="6"/>
      <c r="H26" s="11"/>
      <c r="J26" s="7">
        <f>IF(OR('3E_Vegan_Vegetarisch'!J3&gt;1,'3E_Vegan_Vegetarisch'!J8&gt;1,'3E_Vegan_Vegetarisch'!J13&gt;1,'3E_Vegan_Vegetarisch'!J18&gt;1),0,1)</f>
        <v>1</v>
      </c>
      <c r="K26" s="7" t="s">
        <v>109</v>
      </c>
      <c r="L26" s="497"/>
    </row>
    <row r="27" spans="1:12" ht="31.5" customHeight="1">
      <c r="A27" s="225"/>
      <c r="B27" s="469"/>
      <c r="C27" s="67" t="s">
        <v>33</v>
      </c>
      <c r="D27" s="61" t="s">
        <v>454</v>
      </c>
      <c r="E27" s="13">
        <f>ROUND(MID($B$24,11,2),2)-ROUND(MID($B$24,11,2)*LEFT(D27,3)/100,2)</f>
        <v>0</v>
      </c>
      <c r="F27" s="36">
        <v>0.45169999999999999</v>
      </c>
      <c r="G27" s="15"/>
      <c r="H27" s="37">
        <f>IF(J23=1,F23,(IF(J23=2,F24,IF(J23=3,F25,IF(J23=4,F26,IF(J23=5,F27,""))))))*J25*J26</f>
        <v>0</v>
      </c>
      <c r="I27" s="304">
        <f>56-IF(J23=1,E23,IF(J23=2,E24,IF(J23=3,E25,IF(J23=4,E26,IF(J23=5,E27,"")))))</f>
        <v>0</v>
      </c>
      <c r="J27" s="304">
        <f>IF(J23=1,E23,(IF(J23=2,E24,IF(J23=3,E25,IF(J23=4,E26,IF(J23=5,E27,""))))))</f>
        <v>56</v>
      </c>
      <c r="K27" s="51" t="s">
        <v>35</v>
      </c>
      <c r="L27" s="498"/>
    </row>
    <row r="28" spans="1:12" ht="36" customHeight="1">
      <c r="A28" s="72">
        <v>12</v>
      </c>
      <c r="B28" s="38" t="s">
        <v>110</v>
      </c>
      <c r="C28" s="71">
        <v>0</v>
      </c>
      <c r="D28" s="20" t="s">
        <v>111</v>
      </c>
      <c r="E28" s="96" t="s">
        <v>112</v>
      </c>
      <c r="F28" s="93">
        <v>0</v>
      </c>
      <c r="H28" s="19"/>
      <c r="J28" s="7">
        <v>1</v>
      </c>
      <c r="K28" s="87" t="s">
        <v>23</v>
      </c>
      <c r="L28" s="494" t="str">
        <f>IF(OR(J33=1, AND(J33&gt;1, OR(J3&lt;=1, J3=J33), OR(J8&lt;=1, J8=J33), OR(J13&lt;=1, J13=J33), OR(J18&lt;=1, J18=J33), OR(J28&lt;=1, J28=J33), OR(J38&lt;=1, J38=J33),OR(J43&lt;=1, J43=J33), OR(J48&lt;=1, J48=J33), OR(J53&lt;=1, J53=J33))), "", "Achtung: Wenn Option 13 ausgewählt wird, muss bei den Optionen 7 bis 10, 12 und 14 bis 17 zwingend überall eine einheitliche Intensität (z. B. immer Intensität A) ausgewählt werden. Ansonsten ist Option 13 nicht wählbar.")</f>
        <v/>
      </c>
    </row>
    <row r="29" spans="1:12" ht="36" customHeight="1">
      <c r="A29" s="72"/>
      <c r="B29" s="45" t="s">
        <v>113</v>
      </c>
      <c r="C29" s="69" t="s">
        <v>8</v>
      </c>
      <c r="D29" s="20" t="s">
        <v>114</v>
      </c>
      <c r="E29" s="96" t="s">
        <v>112</v>
      </c>
      <c r="F29" s="93">
        <v>0.01</v>
      </c>
      <c r="H29" s="21"/>
      <c r="L29" s="495"/>
    </row>
    <row r="30" spans="1:12" ht="36" customHeight="1">
      <c r="A30" s="72"/>
      <c r="B30" s="472" t="s">
        <v>115</v>
      </c>
      <c r="C30" s="69" t="s">
        <v>28</v>
      </c>
      <c r="D30" s="20" t="s">
        <v>116</v>
      </c>
      <c r="E30" s="96" t="s">
        <v>112</v>
      </c>
      <c r="F30" s="93">
        <v>1.6E-2</v>
      </c>
      <c r="H30" s="21"/>
      <c r="L30" s="492" t="s">
        <v>400</v>
      </c>
    </row>
    <row r="31" spans="1:12" ht="36" customHeight="1">
      <c r="A31" s="72"/>
      <c r="B31" s="473"/>
      <c r="C31" s="69" t="s">
        <v>31</v>
      </c>
      <c r="D31" s="20" t="s">
        <v>117</v>
      </c>
      <c r="E31" s="96" t="s">
        <v>112</v>
      </c>
      <c r="F31" s="93">
        <f>F29*2</f>
        <v>0.02</v>
      </c>
      <c r="H31" s="21"/>
      <c r="L31" s="483"/>
    </row>
    <row r="32" spans="1:12" ht="36" customHeight="1">
      <c r="A32" s="97"/>
      <c r="B32" s="474"/>
      <c r="C32" s="70" t="s">
        <v>33</v>
      </c>
      <c r="D32" s="23" t="s">
        <v>118</v>
      </c>
      <c r="E32" s="39" t="s">
        <v>112</v>
      </c>
      <c r="F32" s="40">
        <v>2.5000000000000001E-2</v>
      </c>
      <c r="G32" s="25"/>
      <c r="H32" s="41">
        <f>IF(J28=1,F28,(IF(J28=2,F29,IF(J28=3,F30,IF(J28=4,F31,IF(J28=5,F32,""))))))*J4</f>
        <v>0</v>
      </c>
      <c r="I32" s="304" t="s">
        <v>87</v>
      </c>
      <c r="J32" s="50" t="str">
        <f>IF(J28=1,E28,(IF(J28=2,E29,IF(J28=3,E30,IF(J28=4,E31,IF(J28=5,E32,""))))))</f>
        <v>-</v>
      </c>
      <c r="K32" s="51" t="s">
        <v>35</v>
      </c>
      <c r="L32" s="493"/>
    </row>
    <row r="33" spans="1:12" ht="27" customHeight="1">
      <c r="A33" s="228">
        <v>13</v>
      </c>
      <c r="B33" s="230" t="s">
        <v>119</v>
      </c>
      <c r="C33" s="65">
        <v>0</v>
      </c>
      <c r="D33" s="59" t="s">
        <v>22</v>
      </c>
      <c r="E33" s="27">
        <v>56</v>
      </c>
      <c r="F33" s="34">
        <v>0</v>
      </c>
      <c r="G33" s="29"/>
      <c r="H33" s="30"/>
      <c r="J33" s="7">
        <v>1</v>
      </c>
      <c r="K33" s="87" t="s">
        <v>23</v>
      </c>
      <c r="L33" s="462" t="str">
        <f>IF(OR(J33=1, AND(J33&gt;1, OR(J3&lt;=1, J3=J33), OR(J8&lt;=1, J8=J33), OR(J13&lt;=1, J13=J33), OR(J18&lt;=1, J18=J33), OR(J28&lt;=1, J28=J33), OR(J38&lt;=1, J38=J33),OR(J43&lt;=1, J43=J33), OR(J48&lt;=1, J48=J33), OR(J53&lt;=1, J53=J33))), "", "Achtung: Wenn Option 13 ausgewählt wird, muss bei den Optionen 7 bis 10, 12 und 14 bis 17 zwingend überall eine einheitliche Intensität (z. B. immer Intensität A) ausgewählt werden. Ansonsten ist Option 13 nicht wählbar.")</f>
        <v/>
      </c>
    </row>
    <row r="34" spans="1:12" ht="57" customHeight="1">
      <c r="A34" s="223"/>
      <c r="B34" s="231" t="s">
        <v>120</v>
      </c>
      <c r="C34" s="66" t="s">
        <v>8</v>
      </c>
      <c r="D34" s="60" t="s">
        <v>121</v>
      </c>
      <c r="E34" s="5">
        <v>56</v>
      </c>
      <c r="F34" s="34">
        <v>5.5E-2</v>
      </c>
      <c r="G34" s="6"/>
      <c r="H34" s="11"/>
      <c r="L34" s="464"/>
    </row>
    <row r="35" spans="1:12" ht="21.75" customHeight="1">
      <c r="A35" s="223"/>
      <c r="B35" s="475" t="s">
        <v>122</v>
      </c>
      <c r="C35" s="66" t="s">
        <v>28</v>
      </c>
      <c r="D35" s="60" t="s">
        <v>123</v>
      </c>
      <c r="E35" s="5">
        <v>56</v>
      </c>
      <c r="F35" s="35">
        <v>9.5000000000000001E-2</v>
      </c>
      <c r="G35" s="6"/>
      <c r="H35" s="11"/>
      <c r="L35" s="58"/>
    </row>
    <row r="36" spans="1:12" ht="21.75" customHeight="1">
      <c r="A36" s="223"/>
      <c r="B36" s="475"/>
      <c r="C36" s="66" t="s">
        <v>31</v>
      </c>
      <c r="D36" s="60" t="s">
        <v>124</v>
      </c>
      <c r="E36" s="5">
        <v>56</v>
      </c>
      <c r="F36" s="35">
        <v>0.125</v>
      </c>
      <c r="G36" s="6"/>
      <c r="H36" s="11"/>
      <c r="L36" s="58"/>
    </row>
    <row r="37" spans="1:12" ht="21.75" customHeight="1">
      <c r="A37" s="229"/>
      <c r="B37" s="476"/>
      <c r="C37" s="67" t="s">
        <v>33</v>
      </c>
      <c r="D37" s="61" t="s">
        <v>125</v>
      </c>
      <c r="E37" s="13">
        <v>56</v>
      </c>
      <c r="F37" s="36">
        <v>0.2555</v>
      </c>
      <c r="G37" s="15"/>
      <c r="H37" s="42">
        <f>IF(J33=1,F33,(IF(J33=2,F34,IF(J33=3,F35,IF(J33=4,F36,IF(J33=5,F37,""))))))*(1-(Variable7+Variable8+Variable9+Variable10+Variable12+Variable14+Variable15+Variable16+Variable17))*J4</f>
        <v>0</v>
      </c>
      <c r="I37" s="304" t="s">
        <v>87</v>
      </c>
      <c r="J37" s="50">
        <f>IF(J33=1,E33,(IF(J33=2,E34,IF(J33=3,E35,IF(J33=4,E36,IF(J33=5,E37,""))))))</f>
        <v>56</v>
      </c>
      <c r="K37" s="51" t="s">
        <v>35</v>
      </c>
      <c r="L37" s="55"/>
    </row>
    <row r="38" spans="1:12" ht="21.75" customHeight="1">
      <c r="A38" s="72">
        <v>14</v>
      </c>
      <c r="B38" s="9" t="s">
        <v>126</v>
      </c>
      <c r="C38" s="71">
        <v>0</v>
      </c>
      <c r="D38" s="20" t="s">
        <v>22</v>
      </c>
      <c r="E38" s="94">
        <f>ROUND(MID($B$39,11,3),2)</f>
        <v>7.8</v>
      </c>
      <c r="F38" s="92">
        <v>0</v>
      </c>
      <c r="H38" s="21"/>
      <c r="J38" s="7">
        <v>1</v>
      </c>
      <c r="K38" s="87" t="s">
        <v>23</v>
      </c>
      <c r="L38" s="494" t="str">
        <f>IF(OR(J33=1, AND(J33&gt;1, OR(J3&lt;=1, J3=J33), OR(J8&lt;=1, J8=J33), OR(J13&lt;=1, J13=J33), OR(J18&lt;=1, J18=J33), OR(J28&lt;=1, J28=J33), OR(J38&lt;=1, J38=J33),OR(J43&lt;=1, J43=J33), OR(J48&lt;=1, J48=J33), OR(J53&lt;=1, J53=J33))), "", "Achtung: Wenn Option 13 ausgewählt wird, muss bei den Optionen 7 bis 10, 12 und 14 bis 17 zwingend überall eine einheitliche Intensität (z. B. immer Intensität A) ausgewählt werden. Ansonsten ist Option 13 nicht wählbar.")</f>
        <v/>
      </c>
    </row>
    <row r="39" spans="1:12" ht="21.75" customHeight="1">
      <c r="A39" s="72"/>
      <c r="B39" s="45" t="s">
        <v>127</v>
      </c>
      <c r="C39" s="69" t="s">
        <v>8</v>
      </c>
      <c r="D39" s="20" t="s">
        <v>128</v>
      </c>
      <c r="E39" s="95">
        <f>ROUND(MID($B$39,11,3),2)-ROUND(MID($B$39,11,3)*LEFT(D39,2)/100,2)</f>
        <v>5.85</v>
      </c>
      <c r="F39" s="93">
        <f>F40/2</f>
        <v>1.435E-2</v>
      </c>
      <c r="H39" s="21"/>
      <c r="J39" s="7">
        <f>IF(J42+J17&gt;1,1,0)</f>
        <v>0</v>
      </c>
      <c r="K39" s="7" t="s">
        <v>129</v>
      </c>
      <c r="L39" s="495"/>
    </row>
    <row r="40" spans="1:12" ht="26.25" customHeight="1">
      <c r="A40" s="72"/>
      <c r="B40" s="477" t="s">
        <v>130</v>
      </c>
      <c r="C40" s="69" t="s">
        <v>28</v>
      </c>
      <c r="D40" s="20" t="s">
        <v>131</v>
      </c>
      <c r="E40" s="95">
        <f>ROUND(MID($B$39,11,3),2)-ROUND(MID($B$39,11,3)*LEFT(D40,2)/100,2)</f>
        <v>3.9</v>
      </c>
      <c r="F40" s="93">
        <v>2.87E-2</v>
      </c>
      <c r="H40" s="21"/>
      <c r="J40" s="7">
        <f>IF(J18=1,0,IF(J18=2,F19*0.18,IF(J18=3,F20*0.18,IF(J18=4,F21*0.18,IF(J18=5,F22*0.18)))))</f>
        <v>0</v>
      </c>
      <c r="K40" s="87" t="s">
        <v>132</v>
      </c>
      <c r="L40" s="495"/>
    </row>
    <row r="41" spans="1:12" ht="24" customHeight="1">
      <c r="A41" s="72"/>
      <c r="B41" s="478"/>
      <c r="C41" s="69" t="s">
        <v>31</v>
      </c>
      <c r="D41" s="20" t="s">
        <v>133</v>
      </c>
      <c r="E41" s="95">
        <f>ROUND(MID($B$39,11,3),2)-ROUND(MID($B$39,11,3)*LEFT(D41,2)/100,2)</f>
        <v>1.5599999999999996</v>
      </c>
      <c r="F41" s="93">
        <f>F42*0.8</f>
        <v>4.5920000000000002E-2</v>
      </c>
      <c r="H41" s="21"/>
      <c r="L41" s="495"/>
    </row>
    <row r="42" spans="1:12" ht="26.25" customHeight="1">
      <c r="A42" s="73"/>
      <c r="B42" s="479"/>
      <c r="C42" s="70" t="s">
        <v>33</v>
      </c>
      <c r="D42" s="22" t="s">
        <v>134</v>
      </c>
      <c r="E42" s="22">
        <f>ROUND(MID($B$39,11,3),2)-ROUND(MID($B$39,11,3)*LEFT(D42,3)/100,2)</f>
        <v>0</v>
      </c>
      <c r="F42" s="24">
        <f>F40*2</f>
        <v>5.74E-2</v>
      </c>
      <c r="G42" s="25"/>
      <c r="H42" s="326">
        <f>IF((IF(J39=1,0,IF(J38=1,F38,(IF(J38=2,F39,IF(J38=3,F40,IF(J38=4,F41,IF(J38=5,F42,"")))))))-J40)*J4&gt;0,(IF(J39=1,0,IF(J38=1,F38,(IF(J38=2,F39,IF(J38=3,F40,IF(J38=4,F41,IF(J38=5,F42,"")))))))-J40)*J4,0)</f>
        <v>0</v>
      </c>
      <c r="I42" s="304" t="s">
        <v>87</v>
      </c>
      <c r="J42" s="50">
        <f>IF(J38=1,0,IF(J38=2,0.25,IF(J38=3,0.5,IF(J38=4,0.8,IF(J38=5,1,0)))))</f>
        <v>0</v>
      </c>
      <c r="K42" s="51" t="s">
        <v>35</v>
      </c>
      <c r="L42" s="54"/>
    </row>
    <row r="43" spans="1:12" ht="41.25" customHeight="1">
      <c r="A43" s="228">
        <v>15</v>
      </c>
      <c r="B43" s="230" t="s">
        <v>135</v>
      </c>
      <c r="C43" s="65">
        <v>0</v>
      </c>
      <c r="D43" s="59" t="s">
        <v>22</v>
      </c>
      <c r="E43" s="48">
        <v>22.6</v>
      </c>
      <c r="F43" s="34">
        <v>0</v>
      </c>
      <c r="G43" s="29"/>
      <c r="H43" s="30"/>
      <c r="J43" s="7">
        <v>1</v>
      </c>
      <c r="K43" s="87" t="s">
        <v>23</v>
      </c>
      <c r="L43" s="462" t="str">
        <f>IF(OR(J33=1, AND(J33&gt;1, OR(J3&lt;=1, J3=J33), OR(J8&lt;=1, J8=J33), OR(J13&lt;=1, J13=J33), OR(J18&lt;=1, J18=J33), OR(J28&lt;=1, J28=J33), OR(J38&lt;=1, J38=J33),OR(J43&lt;=1, J43=J33), OR(J48&lt;=1, J48=J33), OR(J53&lt;=1, J53=J33))), "", "Achtung: Wenn Option 13 ausgewählt wird, muss bei den Optionen 7 bis 10, 12 und 14 bis 17 zwingend überall eine einheitliche Intensität (z. B. immer Intensität A) ausgewählt werden. Ansonsten ist Option 13 nicht wählbar.")</f>
        <v/>
      </c>
    </row>
    <row r="44" spans="1:12" ht="41.25" customHeight="1">
      <c r="A44" s="223"/>
      <c r="B44" s="224" t="s">
        <v>136</v>
      </c>
      <c r="C44" s="66" t="s">
        <v>8</v>
      </c>
      <c r="D44" s="60" t="s">
        <v>456</v>
      </c>
      <c r="E44" s="5">
        <f>ROUND(MID($B$44,11,4),2)-ROUND(MID($B$44,11,4)*LEFT(D44,2)/100,2)</f>
        <v>16.950000000000003</v>
      </c>
      <c r="F44" s="31">
        <f>F45*0.5</f>
        <v>1.4800000000000001E-2</v>
      </c>
      <c r="G44" s="6"/>
      <c r="H44" s="11"/>
      <c r="L44" s="464"/>
    </row>
    <row r="45" spans="1:12" ht="41.25" customHeight="1">
      <c r="A45" s="223"/>
      <c r="B45" s="480"/>
      <c r="C45" s="66" t="s">
        <v>28</v>
      </c>
      <c r="D45" s="60" t="s">
        <v>457</v>
      </c>
      <c r="E45" s="5">
        <f>ROUND(MID($B$44,11,4),2)-ROUND(MID($B$44,11,4)*LEFT(D45,2)/100,2)</f>
        <v>11.3</v>
      </c>
      <c r="F45" s="31">
        <v>2.9600000000000001E-2</v>
      </c>
      <c r="G45" s="6"/>
      <c r="H45" s="11"/>
      <c r="L45" s="487" t="s">
        <v>450</v>
      </c>
    </row>
    <row r="46" spans="1:12" ht="41.25" customHeight="1">
      <c r="A46" s="223"/>
      <c r="B46" s="480"/>
      <c r="C46" s="66" t="s">
        <v>31</v>
      </c>
      <c r="D46" s="60" t="s">
        <v>458</v>
      </c>
      <c r="E46" s="5">
        <f>ROUND(MID($B$44,11,4),2)-ROUND(MID($B$44,11,4)*LEFT(D46,2)/100,2)</f>
        <v>4.5200000000000031</v>
      </c>
      <c r="F46" s="31">
        <f>F45*2*0.8</f>
        <v>4.7360000000000006E-2</v>
      </c>
      <c r="G46" s="6"/>
      <c r="H46" s="11"/>
      <c r="L46" s="488"/>
    </row>
    <row r="47" spans="1:12" ht="41.25" customHeight="1">
      <c r="A47" s="225"/>
      <c r="B47" s="481"/>
      <c r="C47" s="67" t="s">
        <v>33</v>
      </c>
      <c r="D47" s="61" t="s">
        <v>459</v>
      </c>
      <c r="E47" s="13">
        <f>ROUND(MID($B$44,11,4),2)-ROUND(MID($B$44,11,4)*LEFT(D47,3)/100,2)</f>
        <v>0</v>
      </c>
      <c r="F47" s="32">
        <f>F45*2</f>
        <v>5.9200000000000003E-2</v>
      </c>
      <c r="G47" s="15"/>
      <c r="H47" s="16">
        <f>IF(J43=1,F43,(IF(J43=2,F44,IF(J43=3,F45,IF(J43=4,F46,IF(J43=5,F47,""))))))*J4</f>
        <v>0</v>
      </c>
      <c r="I47" s="304">
        <f>22.6-IF(J43=1,E43,IF(J43=2,E44,IF(J43=3,E45,IF(J43=4,E46,IF(J43=5,E47,"")))))</f>
        <v>0</v>
      </c>
      <c r="J47" s="50">
        <f>IF(J43=1,E43,(IF(J43=2,E44,IF(J43=3,E45,IF(J43=4,E46,IF(J43=5,E47,""))))))</f>
        <v>22.6</v>
      </c>
      <c r="K47" s="51" t="s">
        <v>35</v>
      </c>
      <c r="L47" s="489"/>
    </row>
    <row r="48" spans="1:12" ht="33.75" customHeight="1">
      <c r="A48" s="72">
        <v>16</v>
      </c>
      <c r="B48" s="43" t="s">
        <v>137</v>
      </c>
      <c r="C48" s="71">
        <v>0</v>
      </c>
      <c r="D48" s="20" t="s">
        <v>22</v>
      </c>
      <c r="E48" s="20">
        <f>ROUND(MID($B$49,11,2),2)</f>
        <v>13</v>
      </c>
      <c r="F48" s="92">
        <v>0</v>
      </c>
      <c r="H48" s="21"/>
      <c r="J48" s="7">
        <v>1</v>
      </c>
      <c r="K48" s="87" t="s">
        <v>23</v>
      </c>
      <c r="L48" s="494" t="str">
        <f>IF(OR(J33=1, AND(J33&gt;1, OR(J3&lt;=1, J3=J33), OR(J8&lt;=1, J8=J33), OR(J13&lt;=1, J13=J33), OR(J18&lt;=1, J18=J33), OR(J28&lt;=1, J28=J33), OR(J38&lt;=1, J38=J33),OR(J43&lt;=1, J43=J33), OR(J48&lt;=1, J48=J33), OR(J53&lt;=1, J53=J33))), "", "Achtung: Wenn Option 13 ausgewählt wird, muss bei den Optionen 7 bis 10, 12 und 14 bis 17 zwingend überall eine einheitliche Intensität (z. B. immer Intensität A) ausgewählt werden. Ansonsten ist Option 13 nicht wählbar.")</f>
        <v/>
      </c>
    </row>
    <row r="49" spans="1:12" ht="21.75" customHeight="1">
      <c r="A49" s="72"/>
      <c r="B49" s="45" t="s">
        <v>138</v>
      </c>
      <c r="C49" s="69" t="s">
        <v>8</v>
      </c>
      <c r="D49" s="20" t="s">
        <v>139</v>
      </c>
      <c r="E49" s="20">
        <f>ROUND(MID($B$49,11,2),2)-ROUND(MID($B$49,11,2)*LEFT(D49,2)/100,2)</f>
        <v>9.75</v>
      </c>
      <c r="F49" s="92">
        <v>4.7000000000000002E-3</v>
      </c>
      <c r="H49" s="21"/>
      <c r="J49" s="7">
        <f>IF(AND(J43=3,J48&gt;4),2,IF(AND(J43=4,J48&gt;=3),2,IF(AND(J43=5,J48&gt;1),2,1)))</f>
        <v>1</v>
      </c>
      <c r="K49" s="7" t="s">
        <v>140</v>
      </c>
      <c r="L49" s="495"/>
    </row>
    <row r="50" spans="1:12" ht="21.75" customHeight="1">
      <c r="A50" s="72"/>
      <c r="B50" s="452" t="s">
        <v>141</v>
      </c>
      <c r="C50" s="69" t="s">
        <v>28</v>
      </c>
      <c r="D50" s="20" t="s">
        <v>142</v>
      </c>
      <c r="E50" s="20">
        <f>ROUND(MID($B$49,11,2),2)-ROUND(MID($B$49,11,2)*LEFT(D50,2)/100,2)</f>
        <v>6.5</v>
      </c>
      <c r="F50" s="92">
        <v>9.4000000000000004E-3</v>
      </c>
      <c r="H50" s="21"/>
      <c r="L50" s="495"/>
    </row>
    <row r="51" spans="1:12" ht="21.75" customHeight="1">
      <c r="A51" s="72"/>
      <c r="B51" s="452"/>
      <c r="C51" s="69" t="s">
        <v>31</v>
      </c>
      <c r="D51" s="20" t="s">
        <v>143</v>
      </c>
      <c r="E51" s="20">
        <f>ROUND(MID($B$49,11,2),2)-ROUND(MID($B$49,11,2)*LEFT(D51,2)/100,2)</f>
        <v>2.5999999999999996</v>
      </c>
      <c r="F51" s="92">
        <v>1.4999999999999999E-2</v>
      </c>
      <c r="H51" s="21"/>
      <c r="L51" s="53"/>
    </row>
    <row r="52" spans="1:12" ht="21.75" customHeight="1">
      <c r="A52" s="73"/>
      <c r="B52" s="465"/>
      <c r="C52" s="70" t="s">
        <v>33</v>
      </c>
      <c r="D52" s="22" t="s">
        <v>144</v>
      </c>
      <c r="E52" s="22">
        <f>ROUND(MID($B$49,11,2),2)-ROUND(MID($B$49,11,2)*LEFT(D52,3)/100,2)</f>
        <v>0</v>
      </c>
      <c r="F52" s="24">
        <f>F50*2</f>
        <v>1.8800000000000001E-2</v>
      </c>
      <c r="G52" s="25"/>
      <c r="H52" s="26">
        <f>IF(J48=1,F48,(IF(J48=2,F49,IF(J48=3,F50,IF(J48=4,F51,IF(J48=5,F52,""))))))*IF(J43=2,0.75,IF(J43=3,0.5,IF(J43=4,0.2,IF(J43=5,0,1))))*J4</f>
        <v>0</v>
      </c>
      <c r="I52" s="304" t="s">
        <v>87</v>
      </c>
      <c r="J52" s="50">
        <f>IF(J48=1,E48,(IF(J48=2,E49,IF(J48=3,E50,IF(J48=4,E51,IF(J48=5,E52,""))))))</f>
        <v>13</v>
      </c>
      <c r="K52" s="51" t="s">
        <v>35</v>
      </c>
      <c r="L52" s="54"/>
    </row>
    <row r="53" spans="1:12" ht="21.75" customHeight="1">
      <c r="A53" s="228">
        <v>17</v>
      </c>
      <c r="B53" s="230" t="s">
        <v>145</v>
      </c>
      <c r="C53" s="65">
        <v>0</v>
      </c>
      <c r="D53" s="59" t="s">
        <v>22</v>
      </c>
      <c r="E53" s="27">
        <f>ROUND(MID($B$54,11,1),2)</f>
        <v>7</v>
      </c>
      <c r="F53" s="34">
        <v>0</v>
      </c>
      <c r="G53" s="29"/>
      <c r="H53" s="30"/>
      <c r="J53" s="7">
        <v>1</v>
      </c>
      <c r="K53" s="87" t="s">
        <v>23</v>
      </c>
      <c r="L53" s="484" t="str">
        <f>IF(OR(J33=1, AND(J33&gt;1, OR(J3&lt;=1, J3=J33), OR(J8&lt;=1, J8=J33), OR(J13&lt;=1, J13=J33), OR(J18&lt;=1, J18=J33), OR(J28&lt;=1, J28=J33), OR(J38&lt;=1, J38=J33),OR(J43&lt;=1, J43=J33), OR(J48&lt;=1, J48=J33), OR(J53&lt;=1, J53=J33))), "", "Achtung: Wenn Option 13 ausgewählt wird, muss bei den Optionen 7 bis 10, 12 und 14 bis 17 zwingend überall eine einheitliche Intensität (z. B. immer Intensität A) ausgewählt werden. Ansonsten ist Option 13 nicht wählbar.")</f>
        <v/>
      </c>
    </row>
    <row r="54" spans="1:12" ht="21.75" customHeight="1">
      <c r="A54" s="223"/>
      <c r="B54" s="224" t="s">
        <v>146</v>
      </c>
      <c r="C54" s="66" t="s">
        <v>8</v>
      </c>
      <c r="D54" s="60" t="s">
        <v>147</v>
      </c>
      <c r="E54" s="27">
        <f>ROUND(MID($B$54,11,1),2)-ROUND(MID($B$54,11,1)*LEFT(D54,2)/100,2)</f>
        <v>5.25</v>
      </c>
      <c r="F54" s="31">
        <f>F55/2</f>
        <v>6.875E-3</v>
      </c>
      <c r="G54" s="6"/>
      <c r="H54" s="11"/>
      <c r="L54" s="485"/>
    </row>
    <row r="55" spans="1:12" ht="21.75" customHeight="1">
      <c r="A55" s="223"/>
      <c r="B55" s="480"/>
      <c r="C55" s="66" t="s">
        <v>28</v>
      </c>
      <c r="D55" s="60" t="s">
        <v>148</v>
      </c>
      <c r="E55" s="27">
        <f>ROUND(MID($B$54,11,1),2)-ROUND(MID($B$54,11,1)*LEFT(D55,2)/100,2)</f>
        <v>3.5</v>
      </c>
      <c r="F55" s="31">
        <f>F57/2</f>
        <v>1.375E-2</v>
      </c>
      <c r="G55" s="6"/>
      <c r="H55" s="11"/>
      <c r="L55" s="485"/>
    </row>
    <row r="56" spans="1:12" ht="21.75" customHeight="1">
      <c r="A56" s="223"/>
      <c r="B56" s="480"/>
      <c r="C56" s="66" t="s">
        <v>31</v>
      </c>
      <c r="D56" s="60" t="s">
        <v>149</v>
      </c>
      <c r="E56" s="27">
        <f>ROUND(MID($B$54,11,1),2)-ROUND(MID($B$54,11,1)*LEFT(D56,2)/100,2)</f>
        <v>1.4000000000000004</v>
      </c>
      <c r="F56" s="31">
        <f>F57*0.75</f>
        <v>2.0625000000000001E-2</v>
      </c>
      <c r="G56" s="6"/>
      <c r="H56" s="11"/>
      <c r="L56" s="486"/>
    </row>
    <row r="57" spans="1:12" ht="21.75" customHeight="1">
      <c r="A57" s="225"/>
      <c r="B57" s="481"/>
      <c r="C57" s="67" t="s">
        <v>33</v>
      </c>
      <c r="D57" s="61" t="s">
        <v>150</v>
      </c>
      <c r="E57" s="13">
        <f>ROUND(MID($B$54,11,1),2)-ROUND(MID($B$54,11,1)*LEFT(D57,3)/100,2)</f>
        <v>0</v>
      </c>
      <c r="F57" s="32">
        <v>2.75E-2</v>
      </c>
      <c r="G57" s="15"/>
      <c r="H57" s="16">
        <f>IF(J53=1,F53,(IF(J53=2,F54,IF(J53=3,F55,IF(J53=4,F56,IF(J53=5,F57,""))))))*J4</f>
        <v>0</v>
      </c>
      <c r="I57" s="304" t="s">
        <v>87</v>
      </c>
      <c r="J57" s="50">
        <f>IF(J53=1,E53,(IF(J53=2,E54,IF(J53=3,E55,IF(J53=4,E56,IF(J53=5,E57,""))))))</f>
        <v>7</v>
      </c>
      <c r="K57" s="51" t="s">
        <v>35</v>
      </c>
      <c r="L57" s="55"/>
    </row>
    <row r="58" spans="1:12" ht="31.5" customHeight="1">
      <c r="A58" s="72">
        <v>18</v>
      </c>
      <c r="B58" s="33" t="s">
        <v>151</v>
      </c>
      <c r="C58" s="71">
        <v>0</v>
      </c>
      <c r="D58" s="20" t="s">
        <v>22</v>
      </c>
      <c r="E58" s="18" t="str">
        <f>ROUND(MID($B$59,11,2),2)&amp;" g Milchprod."&amp;CHAR(10)&amp;ROUND(MID($B$59,31,2),2)&amp;" g Fleischprod."</f>
        <v>30 g Milchprod.
56 g Fleischprod.</v>
      </c>
      <c r="F58" s="92">
        <v>0</v>
      </c>
      <c r="H58" s="21"/>
      <c r="J58" s="7">
        <v>1</v>
      </c>
      <c r="K58" s="87" t="s">
        <v>23</v>
      </c>
      <c r="L58" s="482"/>
    </row>
    <row r="59" spans="1:12" ht="33.75" customHeight="1">
      <c r="A59" s="72"/>
      <c r="B59" s="45" t="s">
        <v>152</v>
      </c>
      <c r="C59" s="69" t="s">
        <v>8</v>
      </c>
      <c r="D59" s="20" t="s">
        <v>153</v>
      </c>
      <c r="E59" s="370" t="s">
        <v>154</v>
      </c>
      <c r="F59" s="371">
        <f>$F$62/91*(20-9)</f>
        <v>6.9094505494505493E-2</v>
      </c>
      <c r="H59" s="21"/>
      <c r="J59" s="7">
        <f>IF(OR(J3&gt;1,J8&gt;1,J13&gt;1,J18&gt;1,J23&gt;1,J28&gt;1,J33&gt;1,J38&gt;1,J43&gt;1,J48&gt;1,J53&gt;1),2,1)</f>
        <v>1</v>
      </c>
      <c r="K59" s="7" t="s">
        <v>155</v>
      </c>
      <c r="L59" s="483"/>
    </row>
    <row r="60" spans="1:12" ht="33.75" customHeight="1">
      <c r="A60" s="72"/>
      <c r="B60" s="470" t="s">
        <v>156</v>
      </c>
      <c r="C60" s="69" t="s">
        <v>28</v>
      </c>
      <c r="D60" s="20" t="s">
        <v>157</v>
      </c>
      <c r="E60" s="370" t="s">
        <v>158</v>
      </c>
      <c r="F60" s="371">
        <f>$F$62/91*(35-9)</f>
        <v>0.16331428571428572</v>
      </c>
      <c r="H60" s="21"/>
      <c r="J60" s="7">
        <f>IF(OR(Variable31&gt;0,Variable33&gt;0),1,0)</f>
        <v>0</v>
      </c>
      <c r="K60" s="7" t="s">
        <v>159</v>
      </c>
      <c r="L60" s="483"/>
    </row>
    <row r="61" spans="1:12" ht="33.75" customHeight="1">
      <c r="A61" s="72"/>
      <c r="B61" s="470"/>
      <c r="C61" s="69" t="s">
        <v>31</v>
      </c>
      <c r="D61" s="20" t="s">
        <v>160</v>
      </c>
      <c r="E61" s="370" t="s">
        <v>161</v>
      </c>
      <c r="F61" s="371">
        <f>$F$62/91*(50-9)</f>
        <v>0.25753406593406591</v>
      </c>
      <c r="H61" s="21"/>
      <c r="I61" s="305"/>
      <c r="J61" s="305"/>
      <c r="K61" s="305" t="s">
        <v>162</v>
      </c>
      <c r="L61" s="211"/>
    </row>
    <row r="62" spans="1:12" ht="33.75" customHeight="1">
      <c r="A62" s="73"/>
      <c r="B62" s="471"/>
      <c r="C62" s="70" t="s">
        <v>33</v>
      </c>
      <c r="D62" s="22" t="s">
        <v>163</v>
      </c>
      <c r="E62" s="23" t="str">
        <f>ROUND(MID($B$59,11,2)*(1-LEFT(D62,3)/100),2)&amp;" g Milchprod."&amp;CHAR(10)&amp;ROUND(MID($B$59,31,2)*(1-LEFT(D62,3)/100),2)&amp;" g Fleischprod."</f>
        <v>0 g Milchprod.
0 g Fleischprod.</v>
      </c>
      <c r="F62" s="24">
        <v>0.5716</v>
      </c>
      <c r="G62" s="49"/>
      <c r="H62" s="375">
        <f>IF(J59=2,0,IF(J58=1,F58,(IF(J58=2,F59,IF(J58=3,F60,IF(J58=4,F61,IF(J58=5,F62,"")))))))</f>
        <v>0</v>
      </c>
      <c r="I62" s="304">
        <f>56-IF(J58,56,IF(J58=2,49,IF(J58=3,40,IF(J58=4,31,IF(J58=5,0,"")))))</f>
        <v>0</v>
      </c>
      <c r="J62" s="50" t="str">
        <f>IF(J58=1,E58,(IF(J58=2,E59,IF(J58=3,E60,IF(J58=4,E61,IF(J58=5,E62,""))))))</f>
        <v>30 g Milchprod.
56 g Fleischprod.</v>
      </c>
      <c r="K62" s="51" t="s">
        <v>35</v>
      </c>
      <c r="L62" s="372"/>
    </row>
    <row r="63" spans="1:12" ht="43.5">
      <c r="B63" s="300"/>
      <c r="C63" s="303"/>
      <c r="E63" s="18"/>
      <c r="F63" s="93"/>
      <c r="H63" s="314">
        <f>I64</f>
        <v>0</v>
      </c>
      <c r="I63" s="310">
        <f>SUM(H22,H7,H12,H17,H27,H32,H37,H42,H47,H52,H57,H62)</f>
        <v>0</v>
      </c>
      <c r="J63" s="307" t="s">
        <v>164</v>
      </c>
      <c r="L63" s="8" t="s">
        <v>165</v>
      </c>
    </row>
    <row r="64" spans="1:12" ht="26.25" customHeight="1">
      <c r="I64" s="310">
        <f>(1-MAX(E_TOT_gr,B_TOT_gr))/(1-B_TOT_gr)*(Var_C-MIN(B_TOT_gr,E_TOT_gr)*'3E_Vegan_Vegetarisch'!J21)</f>
        <v>0</v>
      </c>
      <c r="J64" s="310" t="s">
        <v>166</v>
      </c>
    </row>
    <row r="65" spans="6:11" ht="21.75" customHeight="1">
      <c r="F65" s="306"/>
      <c r="I65" s="310">
        <f>B_TOT-Var_C</f>
        <v>0</v>
      </c>
      <c r="J65" s="310" t="s">
        <v>167</v>
      </c>
    </row>
    <row r="66" spans="6:11" ht="21.75" customHeight="1">
      <c r="J66" s="307">
        <f>SUM(I22,I7,I12,I17,I27,I32,I37,I42,I47,I52,I57,I62)/56.000001</f>
        <v>0</v>
      </c>
      <c r="K66" s="307" t="s">
        <v>168</v>
      </c>
    </row>
    <row r="67" spans="6:11" ht="21.75" customHeight="1">
      <c r="I67" s="307" t="s">
        <v>169</v>
      </c>
    </row>
  </sheetData>
  <mergeCells count="28">
    <mergeCell ref="L58:L60"/>
    <mergeCell ref="L53:L56"/>
    <mergeCell ref="L45:L47"/>
    <mergeCell ref="L43:L44"/>
    <mergeCell ref="L8:L9"/>
    <mergeCell ref="L13:L16"/>
    <mergeCell ref="L30:L32"/>
    <mergeCell ref="L28:L29"/>
    <mergeCell ref="L20:L22"/>
    <mergeCell ref="L18:L19"/>
    <mergeCell ref="L10:L12"/>
    <mergeCell ref="L23:L27"/>
    <mergeCell ref="L33:L34"/>
    <mergeCell ref="L38:L41"/>
    <mergeCell ref="L48:L50"/>
    <mergeCell ref="B60:B62"/>
    <mergeCell ref="B30:B32"/>
    <mergeCell ref="B35:B37"/>
    <mergeCell ref="B40:B42"/>
    <mergeCell ref="B45:B47"/>
    <mergeCell ref="B55:B57"/>
    <mergeCell ref="L3:L6"/>
    <mergeCell ref="B5:B7"/>
    <mergeCell ref="B15:B17"/>
    <mergeCell ref="B50:B52"/>
    <mergeCell ref="B20:B22"/>
    <mergeCell ref="B25:B27"/>
    <mergeCell ref="B10:B12"/>
  </mergeCells>
  <conditionalFormatting sqref="A63:F63 L63:XFD63">
    <cfRule type="expression" dxfId="244" priority="79">
      <formula>$J$60=1</formula>
    </cfRule>
    <cfRule type="expression" dxfId="243" priority="86">
      <formula>$J$59&gt;1</formula>
    </cfRule>
  </conditionalFormatting>
  <conditionalFormatting sqref="A58:H61">
    <cfRule type="expression" dxfId="242" priority="6">
      <formula>$J$60=1</formula>
    </cfRule>
    <cfRule type="expression" dxfId="241" priority="78">
      <formula>$J$59&gt;1</formula>
    </cfRule>
  </conditionalFormatting>
  <conditionalFormatting sqref="A3:XFD3 A4:H4 J4:K4 M4:XFD6 J5 A5:I7 J6:K6 J7:XFD7 I17:J17">
    <cfRule type="expression" dxfId="240" priority="84">
      <formula>OR(AND($J$3&gt;3,$J$8&gt;3),AND($J$3&gt;3,$J$8&gt;1),AND($J$8&gt;3,$J$3&gt;1),AND($J$3&gt;2,$J$8&gt;3),AND($J$8&gt;2,$J$3&gt;3))</formula>
    </cfRule>
  </conditionalFormatting>
  <conditionalFormatting sqref="A13:XFD13 A14:K16 M14:XFD16 A17:XFD17">
    <cfRule type="expression" dxfId="239" priority="10">
      <formula>$J$9=1</formula>
    </cfRule>
  </conditionalFormatting>
  <conditionalFormatting sqref="A23:XFD23 A24:K27 M24:XFD27">
    <cfRule type="expression" dxfId="238" priority="16">
      <formula>OR($J$25=0,$J$26=0)</formula>
    </cfRule>
  </conditionalFormatting>
  <conditionalFormatting sqref="A38:XFD38 A39:K41 M39:XFD41 A42:XFD42">
    <cfRule type="expression" dxfId="237" priority="9">
      <formula>$J$39=1</formula>
    </cfRule>
  </conditionalFormatting>
  <conditionalFormatting sqref="G17">
    <cfRule type="expression" dxfId="236" priority="88">
      <formula>OR($J$25=0,$J$26=0)</formula>
    </cfRule>
  </conditionalFormatting>
  <conditionalFormatting sqref="I28:I60 I62">
    <cfRule type="expression" dxfId="235" priority="7">
      <formula>$J$23&gt;1</formula>
    </cfRule>
  </conditionalFormatting>
  <conditionalFormatting sqref="I3:XFD3 A3:H45 J4:K4 J5 I5:I57 L23 J35:XFD38 J39:K41 M39:XFD41 J42:XFD42 L43 A46:A47 C46:H47 A48:H55 A56:A57 C56:H57">
    <cfRule type="expression" dxfId="234" priority="85">
      <formula>$J$58&gt;1</formula>
    </cfRule>
  </conditionalFormatting>
  <conditionalFormatting sqref="I58:XFD58 I59:K60 M59:XFD60 K61:XFD61 A62:K62 M62:XFD62">
    <cfRule type="expression" dxfId="233" priority="8">
      <formula>$J$60=1</formula>
    </cfRule>
    <cfRule type="expression" dxfId="232" priority="15">
      <formula>$J$59&gt;1</formula>
    </cfRule>
  </conditionalFormatting>
  <conditionalFormatting sqref="L33">
    <cfRule type="expression" dxfId="231" priority="1">
      <formula>$J$58&gt;1</formula>
    </cfRule>
  </conditionalFormatting>
  <conditionalFormatting sqref="M4:XFD6 J6:K6 J7:XFD8 J9:K9 M9:XFD9 J10:XFD10 J11:K12 M11:XFD12 J13:XFD13 J14:K16 M14:XFD16 J17:XFD18 J19:K27 M19:XFD27 J28:XFD28 J29:K34 M29:XFD34 J43:K47 M43:XFD47 J48:XFD48 J49:K50 M49:XFD50 J51:XFD53 J54:K56 M54:XFD56 J57:XFD57">
    <cfRule type="expression" dxfId="230" priority="76">
      <formula>$J$58&gt;1</formula>
    </cfRule>
  </conditionalFormatting>
  <pageMargins left="0.7" right="0.7" top="0.78740157499999996" bottom="0.78740157499999996" header="0.3" footer="0.3"/>
  <pageSetup paperSize="9" scale="57" fitToHeight="2" orientation="landscape" horizont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Group Box 2">
              <controlPr defaultSize="0" autoFill="0" autoPict="0">
                <anchor moveWithCells="1">
                  <from>
                    <xdr:col>6</xdr:col>
                    <xdr:colOff>0</xdr:colOff>
                    <xdr:row>2</xdr:row>
                    <xdr:rowOff>9525</xdr:rowOff>
                  </from>
                  <to>
                    <xdr:col>7</xdr:col>
                    <xdr:colOff>38100</xdr:colOff>
                    <xdr:row>6</xdr:row>
                    <xdr:rowOff>257175</xdr:rowOff>
                  </to>
                </anchor>
              </controlPr>
            </control>
          </mc:Choice>
        </mc:AlternateContent>
        <mc:AlternateContent xmlns:mc="http://schemas.openxmlformats.org/markup-compatibility/2006">
          <mc:Choice Requires="x14">
            <control shapeId="1030" r:id="rId5" name="Option Button 6">
              <controlPr defaultSize="0" autoFill="0" autoLine="0" autoPict="0">
                <anchor moveWithCells="1">
                  <from>
                    <xdr:col>6</xdr:col>
                    <xdr:colOff>152400</xdr:colOff>
                    <xdr:row>2</xdr:row>
                    <xdr:rowOff>38100</xdr:rowOff>
                  </from>
                  <to>
                    <xdr:col>6</xdr:col>
                    <xdr:colOff>457200</xdr:colOff>
                    <xdr:row>2</xdr:row>
                    <xdr:rowOff>295275</xdr:rowOff>
                  </to>
                </anchor>
              </controlPr>
            </control>
          </mc:Choice>
        </mc:AlternateContent>
        <mc:AlternateContent xmlns:mc="http://schemas.openxmlformats.org/markup-compatibility/2006">
          <mc:Choice Requires="x14">
            <control shapeId="1031" r:id="rId6" name="Option Button 7">
              <controlPr defaultSize="0" autoFill="0" autoLine="0" autoPict="0">
                <anchor moveWithCells="1">
                  <from>
                    <xdr:col>6</xdr:col>
                    <xdr:colOff>152400</xdr:colOff>
                    <xdr:row>3</xdr:row>
                    <xdr:rowOff>28575</xdr:rowOff>
                  </from>
                  <to>
                    <xdr:col>7</xdr:col>
                    <xdr:colOff>0</xdr:colOff>
                    <xdr:row>3</xdr:row>
                    <xdr:rowOff>257175</xdr:rowOff>
                  </to>
                </anchor>
              </controlPr>
            </control>
          </mc:Choice>
        </mc:AlternateContent>
        <mc:AlternateContent xmlns:mc="http://schemas.openxmlformats.org/markup-compatibility/2006">
          <mc:Choice Requires="x14">
            <control shapeId="1033" r:id="rId7" name="Option Button 9">
              <controlPr defaultSize="0" autoFill="0" autoLine="0" autoPict="0">
                <anchor moveWithCells="1">
                  <from>
                    <xdr:col>6</xdr:col>
                    <xdr:colOff>152400</xdr:colOff>
                    <xdr:row>4</xdr:row>
                    <xdr:rowOff>38100</xdr:rowOff>
                  </from>
                  <to>
                    <xdr:col>6</xdr:col>
                    <xdr:colOff>390525</xdr:colOff>
                    <xdr:row>4</xdr:row>
                    <xdr:rowOff>257175</xdr:rowOff>
                  </to>
                </anchor>
              </controlPr>
            </control>
          </mc:Choice>
        </mc:AlternateContent>
        <mc:AlternateContent xmlns:mc="http://schemas.openxmlformats.org/markup-compatibility/2006">
          <mc:Choice Requires="x14">
            <control shapeId="1034" r:id="rId8" name="Option Button 10">
              <controlPr defaultSize="0" autoFill="0" autoLine="0" autoPict="0">
                <anchor moveWithCells="1">
                  <from>
                    <xdr:col>6</xdr:col>
                    <xdr:colOff>152400</xdr:colOff>
                    <xdr:row>5</xdr:row>
                    <xdr:rowOff>28575</xdr:rowOff>
                  </from>
                  <to>
                    <xdr:col>7</xdr:col>
                    <xdr:colOff>28575</xdr:colOff>
                    <xdr:row>5</xdr:row>
                    <xdr:rowOff>257175</xdr:rowOff>
                  </to>
                </anchor>
              </controlPr>
            </control>
          </mc:Choice>
        </mc:AlternateContent>
        <mc:AlternateContent xmlns:mc="http://schemas.openxmlformats.org/markup-compatibility/2006">
          <mc:Choice Requires="x14">
            <control shapeId="1035" r:id="rId9" name="Option Button 11">
              <controlPr defaultSize="0" autoFill="0" autoLine="0" autoPict="0">
                <anchor moveWithCells="1">
                  <from>
                    <xdr:col>6</xdr:col>
                    <xdr:colOff>152400</xdr:colOff>
                    <xdr:row>6</xdr:row>
                    <xdr:rowOff>9525</xdr:rowOff>
                  </from>
                  <to>
                    <xdr:col>6</xdr:col>
                    <xdr:colOff>381000</xdr:colOff>
                    <xdr:row>6</xdr:row>
                    <xdr:rowOff>238125</xdr:rowOff>
                  </to>
                </anchor>
              </controlPr>
            </control>
          </mc:Choice>
        </mc:AlternateContent>
        <mc:AlternateContent xmlns:mc="http://schemas.openxmlformats.org/markup-compatibility/2006">
          <mc:Choice Requires="x14">
            <control shapeId="1048" r:id="rId10" name="Group Box 24">
              <controlPr defaultSize="0" autoFill="0" autoPict="0">
                <anchor moveWithCells="1">
                  <from>
                    <xdr:col>6</xdr:col>
                    <xdr:colOff>0</xdr:colOff>
                    <xdr:row>17</xdr:row>
                    <xdr:rowOff>0</xdr:rowOff>
                  </from>
                  <to>
                    <xdr:col>7</xdr:col>
                    <xdr:colOff>38100</xdr:colOff>
                    <xdr:row>22</xdr:row>
                    <xdr:rowOff>0</xdr:rowOff>
                  </to>
                </anchor>
              </controlPr>
            </control>
          </mc:Choice>
        </mc:AlternateContent>
        <mc:AlternateContent xmlns:mc="http://schemas.openxmlformats.org/markup-compatibility/2006">
          <mc:Choice Requires="x14">
            <control shapeId="1060" r:id="rId11" name="Group Box 36">
              <controlPr defaultSize="0" autoFill="0" autoPict="0">
                <anchor moveWithCells="1">
                  <from>
                    <xdr:col>6</xdr:col>
                    <xdr:colOff>0</xdr:colOff>
                    <xdr:row>27</xdr:row>
                    <xdr:rowOff>9525</xdr:rowOff>
                  </from>
                  <to>
                    <xdr:col>7</xdr:col>
                    <xdr:colOff>28575</xdr:colOff>
                    <xdr:row>32</xdr:row>
                    <xdr:rowOff>9525</xdr:rowOff>
                  </to>
                </anchor>
              </controlPr>
            </control>
          </mc:Choice>
        </mc:AlternateContent>
        <mc:AlternateContent xmlns:mc="http://schemas.openxmlformats.org/markup-compatibility/2006">
          <mc:Choice Requires="x14">
            <control shapeId="1061" r:id="rId12" name="Option Button 37">
              <controlPr defaultSize="0" autoFill="0" autoLine="0" autoPict="0">
                <anchor moveWithCells="1">
                  <from>
                    <xdr:col>6</xdr:col>
                    <xdr:colOff>142875</xdr:colOff>
                    <xdr:row>27</xdr:row>
                    <xdr:rowOff>28575</xdr:rowOff>
                  </from>
                  <to>
                    <xdr:col>6</xdr:col>
                    <xdr:colOff>447675</xdr:colOff>
                    <xdr:row>27</xdr:row>
                    <xdr:rowOff>266700</xdr:rowOff>
                  </to>
                </anchor>
              </controlPr>
            </control>
          </mc:Choice>
        </mc:AlternateContent>
        <mc:AlternateContent xmlns:mc="http://schemas.openxmlformats.org/markup-compatibility/2006">
          <mc:Choice Requires="x14">
            <control shapeId="1062" r:id="rId13" name="Option Button 38">
              <controlPr defaultSize="0" autoFill="0" autoLine="0" autoPict="0">
                <anchor moveWithCells="1">
                  <from>
                    <xdr:col>6</xdr:col>
                    <xdr:colOff>142875</xdr:colOff>
                    <xdr:row>28</xdr:row>
                    <xdr:rowOff>28575</xdr:rowOff>
                  </from>
                  <to>
                    <xdr:col>6</xdr:col>
                    <xdr:colOff>447675</xdr:colOff>
                    <xdr:row>28</xdr:row>
                    <xdr:rowOff>257175</xdr:rowOff>
                  </to>
                </anchor>
              </controlPr>
            </control>
          </mc:Choice>
        </mc:AlternateContent>
        <mc:AlternateContent xmlns:mc="http://schemas.openxmlformats.org/markup-compatibility/2006">
          <mc:Choice Requires="x14">
            <control shapeId="1063" r:id="rId14" name="Option Button 39">
              <controlPr defaultSize="0" autoFill="0" autoLine="0" autoPict="0">
                <anchor moveWithCells="1">
                  <from>
                    <xdr:col>6</xdr:col>
                    <xdr:colOff>142875</xdr:colOff>
                    <xdr:row>29</xdr:row>
                    <xdr:rowOff>9525</xdr:rowOff>
                  </from>
                  <to>
                    <xdr:col>6</xdr:col>
                    <xdr:colOff>447675</xdr:colOff>
                    <xdr:row>29</xdr:row>
                    <xdr:rowOff>276225</xdr:rowOff>
                  </to>
                </anchor>
              </controlPr>
            </control>
          </mc:Choice>
        </mc:AlternateContent>
        <mc:AlternateContent xmlns:mc="http://schemas.openxmlformats.org/markup-compatibility/2006">
          <mc:Choice Requires="x14">
            <control shapeId="1064" r:id="rId15" name="Option Button 40">
              <controlPr defaultSize="0" autoFill="0" autoLine="0" autoPict="0">
                <anchor moveWithCells="1">
                  <from>
                    <xdr:col>6</xdr:col>
                    <xdr:colOff>142875</xdr:colOff>
                    <xdr:row>30</xdr:row>
                    <xdr:rowOff>38100</xdr:rowOff>
                  </from>
                  <to>
                    <xdr:col>6</xdr:col>
                    <xdr:colOff>447675</xdr:colOff>
                    <xdr:row>30</xdr:row>
                    <xdr:rowOff>257175</xdr:rowOff>
                  </to>
                </anchor>
              </controlPr>
            </control>
          </mc:Choice>
        </mc:AlternateContent>
        <mc:AlternateContent xmlns:mc="http://schemas.openxmlformats.org/markup-compatibility/2006">
          <mc:Choice Requires="x14">
            <control shapeId="1065" r:id="rId16" name="Option Button 41">
              <controlPr defaultSize="0" autoFill="0" autoLine="0" autoPict="0">
                <anchor moveWithCells="1">
                  <from>
                    <xdr:col>6</xdr:col>
                    <xdr:colOff>142875</xdr:colOff>
                    <xdr:row>31</xdr:row>
                    <xdr:rowOff>66675</xdr:rowOff>
                  </from>
                  <to>
                    <xdr:col>6</xdr:col>
                    <xdr:colOff>447675</xdr:colOff>
                    <xdr:row>31</xdr:row>
                    <xdr:rowOff>333375</xdr:rowOff>
                  </to>
                </anchor>
              </controlPr>
            </control>
          </mc:Choice>
        </mc:AlternateContent>
        <mc:AlternateContent xmlns:mc="http://schemas.openxmlformats.org/markup-compatibility/2006">
          <mc:Choice Requires="x14">
            <control shapeId="1066" r:id="rId17" name="Group Box 42">
              <controlPr defaultSize="0" autoFill="0" autoPict="0">
                <anchor moveWithCells="1">
                  <from>
                    <xdr:col>6</xdr:col>
                    <xdr:colOff>0</xdr:colOff>
                    <xdr:row>32</xdr:row>
                    <xdr:rowOff>0</xdr:rowOff>
                  </from>
                  <to>
                    <xdr:col>7</xdr:col>
                    <xdr:colOff>9525</xdr:colOff>
                    <xdr:row>37</xdr:row>
                    <xdr:rowOff>0</xdr:rowOff>
                  </to>
                </anchor>
              </controlPr>
            </control>
          </mc:Choice>
        </mc:AlternateContent>
        <mc:AlternateContent xmlns:mc="http://schemas.openxmlformats.org/markup-compatibility/2006">
          <mc:Choice Requires="x14">
            <control shapeId="1072" r:id="rId18" name="Group Box 48">
              <controlPr defaultSize="0" autoFill="0" autoPict="0">
                <anchor moveWithCells="1">
                  <from>
                    <xdr:col>6</xdr:col>
                    <xdr:colOff>0</xdr:colOff>
                    <xdr:row>37</xdr:row>
                    <xdr:rowOff>0</xdr:rowOff>
                  </from>
                  <to>
                    <xdr:col>7</xdr:col>
                    <xdr:colOff>28575</xdr:colOff>
                    <xdr:row>42</xdr:row>
                    <xdr:rowOff>0</xdr:rowOff>
                  </to>
                </anchor>
              </controlPr>
            </control>
          </mc:Choice>
        </mc:AlternateContent>
        <mc:AlternateContent xmlns:mc="http://schemas.openxmlformats.org/markup-compatibility/2006">
          <mc:Choice Requires="x14">
            <control shapeId="1073" r:id="rId19" name="Option Button 49">
              <controlPr defaultSize="0" autoFill="0" autoLine="0" autoPict="0">
                <anchor moveWithCells="1">
                  <from>
                    <xdr:col>6</xdr:col>
                    <xdr:colOff>142875</xdr:colOff>
                    <xdr:row>37</xdr:row>
                    <xdr:rowOff>38100</xdr:rowOff>
                  </from>
                  <to>
                    <xdr:col>6</xdr:col>
                    <xdr:colOff>447675</xdr:colOff>
                    <xdr:row>37</xdr:row>
                    <xdr:rowOff>257175</xdr:rowOff>
                  </to>
                </anchor>
              </controlPr>
            </control>
          </mc:Choice>
        </mc:AlternateContent>
        <mc:AlternateContent xmlns:mc="http://schemas.openxmlformats.org/markup-compatibility/2006">
          <mc:Choice Requires="x14">
            <control shapeId="1074" r:id="rId20" name="Option Button 50">
              <controlPr defaultSize="0" autoFill="0" autoLine="0" autoPict="0">
                <anchor moveWithCells="1">
                  <from>
                    <xdr:col>6</xdr:col>
                    <xdr:colOff>142875</xdr:colOff>
                    <xdr:row>38</xdr:row>
                    <xdr:rowOff>38100</xdr:rowOff>
                  </from>
                  <to>
                    <xdr:col>6</xdr:col>
                    <xdr:colOff>447675</xdr:colOff>
                    <xdr:row>38</xdr:row>
                    <xdr:rowOff>257175</xdr:rowOff>
                  </to>
                </anchor>
              </controlPr>
            </control>
          </mc:Choice>
        </mc:AlternateContent>
        <mc:AlternateContent xmlns:mc="http://schemas.openxmlformats.org/markup-compatibility/2006">
          <mc:Choice Requires="x14">
            <control shapeId="1075" r:id="rId21" name="Option Button 51">
              <controlPr defaultSize="0" autoFill="0" autoLine="0" autoPict="0">
                <anchor moveWithCells="1">
                  <from>
                    <xdr:col>6</xdr:col>
                    <xdr:colOff>142875</xdr:colOff>
                    <xdr:row>39</xdr:row>
                    <xdr:rowOff>38100</xdr:rowOff>
                  </from>
                  <to>
                    <xdr:col>6</xdr:col>
                    <xdr:colOff>447675</xdr:colOff>
                    <xdr:row>39</xdr:row>
                    <xdr:rowOff>257175</xdr:rowOff>
                  </to>
                </anchor>
              </controlPr>
            </control>
          </mc:Choice>
        </mc:AlternateContent>
        <mc:AlternateContent xmlns:mc="http://schemas.openxmlformats.org/markup-compatibility/2006">
          <mc:Choice Requires="x14">
            <control shapeId="1076" r:id="rId22" name="Option Button 52">
              <controlPr defaultSize="0" autoFill="0" autoLine="0" autoPict="0">
                <anchor moveWithCells="1">
                  <from>
                    <xdr:col>6</xdr:col>
                    <xdr:colOff>142875</xdr:colOff>
                    <xdr:row>40</xdr:row>
                    <xdr:rowOff>38100</xdr:rowOff>
                  </from>
                  <to>
                    <xdr:col>6</xdr:col>
                    <xdr:colOff>447675</xdr:colOff>
                    <xdr:row>40</xdr:row>
                    <xdr:rowOff>257175</xdr:rowOff>
                  </to>
                </anchor>
              </controlPr>
            </control>
          </mc:Choice>
        </mc:AlternateContent>
        <mc:AlternateContent xmlns:mc="http://schemas.openxmlformats.org/markup-compatibility/2006">
          <mc:Choice Requires="x14">
            <control shapeId="1077" r:id="rId23" name="Option Button 53">
              <controlPr defaultSize="0" autoFill="0" autoLine="0" autoPict="0">
                <anchor moveWithCells="1">
                  <from>
                    <xdr:col>6</xdr:col>
                    <xdr:colOff>142875</xdr:colOff>
                    <xdr:row>41</xdr:row>
                    <xdr:rowOff>38100</xdr:rowOff>
                  </from>
                  <to>
                    <xdr:col>6</xdr:col>
                    <xdr:colOff>447675</xdr:colOff>
                    <xdr:row>41</xdr:row>
                    <xdr:rowOff>257175</xdr:rowOff>
                  </to>
                </anchor>
              </controlPr>
            </control>
          </mc:Choice>
        </mc:AlternateContent>
        <mc:AlternateContent xmlns:mc="http://schemas.openxmlformats.org/markup-compatibility/2006">
          <mc:Choice Requires="x14">
            <control shapeId="1091" r:id="rId24" name="Group Box 67">
              <controlPr defaultSize="0" autoFill="0" autoPict="0">
                <anchor moveWithCells="1">
                  <from>
                    <xdr:col>6</xdr:col>
                    <xdr:colOff>0</xdr:colOff>
                    <xdr:row>52</xdr:row>
                    <xdr:rowOff>0</xdr:rowOff>
                  </from>
                  <to>
                    <xdr:col>7</xdr:col>
                    <xdr:colOff>47625</xdr:colOff>
                    <xdr:row>56</xdr:row>
                    <xdr:rowOff>266700</xdr:rowOff>
                  </to>
                </anchor>
              </controlPr>
            </control>
          </mc:Choice>
        </mc:AlternateContent>
        <mc:AlternateContent xmlns:mc="http://schemas.openxmlformats.org/markup-compatibility/2006">
          <mc:Choice Requires="x14">
            <control shapeId="1092" r:id="rId25" name="Option Button 68">
              <controlPr defaultSize="0" autoFill="0" autoLine="0" autoPict="0">
                <anchor moveWithCells="1">
                  <from>
                    <xdr:col>6</xdr:col>
                    <xdr:colOff>123825</xdr:colOff>
                    <xdr:row>52</xdr:row>
                    <xdr:rowOff>38100</xdr:rowOff>
                  </from>
                  <to>
                    <xdr:col>6</xdr:col>
                    <xdr:colOff>428625</xdr:colOff>
                    <xdr:row>52</xdr:row>
                    <xdr:rowOff>257175</xdr:rowOff>
                  </to>
                </anchor>
              </controlPr>
            </control>
          </mc:Choice>
        </mc:AlternateContent>
        <mc:AlternateContent xmlns:mc="http://schemas.openxmlformats.org/markup-compatibility/2006">
          <mc:Choice Requires="x14">
            <control shapeId="1093" r:id="rId26" name="Option Button 69">
              <controlPr defaultSize="0" autoFill="0" autoLine="0" autoPict="0">
                <anchor moveWithCells="1">
                  <from>
                    <xdr:col>6</xdr:col>
                    <xdr:colOff>123825</xdr:colOff>
                    <xdr:row>53</xdr:row>
                    <xdr:rowOff>28575</xdr:rowOff>
                  </from>
                  <to>
                    <xdr:col>6</xdr:col>
                    <xdr:colOff>428625</xdr:colOff>
                    <xdr:row>53</xdr:row>
                    <xdr:rowOff>257175</xdr:rowOff>
                  </to>
                </anchor>
              </controlPr>
            </control>
          </mc:Choice>
        </mc:AlternateContent>
        <mc:AlternateContent xmlns:mc="http://schemas.openxmlformats.org/markup-compatibility/2006">
          <mc:Choice Requires="x14">
            <control shapeId="1094" r:id="rId27" name="Option Button 70">
              <controlPr defaultSize="0" autoFill="0" autoLine="0" autoPict="0">
                <anchor moveWithCells="1">
                  <from>
                    <xdr:col>6</xdr:col>
                    <xdr:colOff>123825</xdr:colOff>
                    <xdr:row>54</xdr:row>
                    <xdr:rowOff>28575</xdr:rowOff>
                  </from>
                  <to>
                    <xdr:col>6</xdr:col>
                    <xdr:colOff>428625</xdr:colOff>
                    <xdr:row>54</xdr:row>
                    <xdr:rowOff>257175</xdr:rowOff>
                  </to>
                </anchor>
              </controlPr>
            </control>
          </mc:Choice>
        </mc:AlternateContent>
        <mc:AlternateContent xmlns:mc="http://schemas.openxmlformats.org/markup-compatibility/2006">
          <mc:Choice Requires="x14">
            <control shapeId="1095" r:id="rId28" name="Option Button 71">
              <controlPr defaultSize="0" autoFill="0" autoLine="0" autoPict="0">
                <anchor moveWithCells="1">
                  <from>
                    <xdr:col>6</xdr:col>
                    <xdr:colOff>123825</xdr:colOff>
                    <xdr:row>55</xdr:row>
                    <xdr:rowOff>38100</xdr:rowOff>
                  </from>
                  <to>
                    <xdr:col>6</xdr:col>
                    <xdr:colOff>428625</xdr:colOff>
                    <xdr:row>55</xdr:row>
                    <xdr:rowOff>257175</xdr:rowOff>
                  </to>
                </anchor>
              </controlPr>
            </control>
          </mc:Choice>
        </mc:AlternateContent>
        <mc:AlternateContent xmlns:mc="http://schemas.openxmlformats.org/markup-compatibility/2006">
          <mc:Choice Requires="x14">
            <control shapeId="1096" r:id="rId29" name="Option Button 72">
              <controlPr defaultSize="0" autoFill="0" autoLine="0" autoPict="0">
                <anchor moveWithCells="1">
                  <from>
                    <xdr:col>6</xdr:col>
                    <xdr:colOff>123825</xdr:colOff>
                    <xdr:row>56</xdr:row>
                    <xdr:rowOff>66675</xdr:rowOff>
                  </from>
                  <to>
                    <xdr:col>6</xdr:col>
                    <xdr:colOff>457200</xdr:colOff>
                    <xdr:row>56</xdr:row>
                    <xdr:rowOff>228600</xdr:rowOff>
                  </to>
                </anchor>
              </controlPr>
            </control>
          </mc:Choice>
        </mc:AlternateContent>
        <mc:AlternateContent xmlns:mc="http://schemas.openxmlformats.org/markup-compatibility/2006">
          <mc:Choice Requires="x14">
            <control shapeId="1097" r:id="rId30" name="Group Box 73">
              <controlPr defaultSize="0" autoFill="0" autoPict="0">
                <anchor moveWithCells="1">
                  <from>
                    <xdr:col>6</xdr:col>
                    <xdr:colOff>0</xdr:colOff>
                    <xdr:row>57</xdr:row>
                    <xdr:rowOff>0</xdr:rowOff>
                  </from>
                  <to>
                    <xdr:col>7</xdr:col>
                    <xdr:colOff>47625</xdr:colOff>
                    <xdr:row>62</xdr:row>
                    <xdr:rowOff>0</xdr:rowOff>
                  </to>
                </anchor>
              </controlPr>
            </control>
          </mc:Choice>
        </mc:AlternateContent>
        <mc:AlternateContent xmlns:mc="http://schemas.openxmlformats.org/markup-compatibility/2006">
          <mc:Choice Requires="x14">
            <control shapeId="1112" r:id="rId31" name="Option Button 88">
              <controlPr defaultSize="0" autoFill="0" autoLine="0" autoPict="0">
                <anchor moveWithCells="1">
                  <from>
                    <xdr:col>6</xdr:col>
                    <xdr:colOff>142875</xdr:colOff>
                    <xdr:row>47</xdr:row>
                    <xdr:rowOff>104775</xdr:rowOff>
                  </from>
                  <to>
                    <xdr:col>6</xdr:col>
                    <xdr:colOff>447675</xdr:colOff>
                    <xdr:row>47</xdr:row>
                    <xdr:rowOff>333375</xdr:rowOff>
                  </to>
                </anchor>
              </controlPr>
            </control>
          </mc:Choice>
        </mc:AlternateContent>
        <mc:AlternateContent xmlns:mc="http://schemas.openxmlformats.org/markup-compatibility/2006">
          <mc:Choice Requires="x14">
            <control shapeId="1113" r:id="rId32" name="Option Button 89">
              <controlPr defaultSize="0" autoFill="0" autoLine="0" autoPict="0">
                <anchor moveWithCells="1">
                  <from>
                    <xdr:col>6</xdr:col>
                    <xdr:colOff>142875</xdr:colOff>
                    <xdr:row>48</xdr:row>
                    <xdr:rowOff>38100</xdr:rowOff>
                  </from>
                  <to>
                    <xdr:col>6</xdr:col>
                    <xdr:colOff>447675</xdr:colOff>
                    <xdr:row>48</xdr:row>
                    <xdr:rowOff>257175</xdr:rowOff>
                  </to>
                </anchor>
              </controlPr>
            </control>
          </mc:Choice>
        </mc:AlternateContent>
        <mc:AlternateContent xmlns:mc="http://schemas.openxmlformats.org/markup-compatibility/2006">
          <mc:Choice Requires="x14">
            <control shapeId="1114" r:id="rId33" name="Option Button 90">
              <controlPr defaultSize="0" autoFill="0" autoLine="0" autoPict="0">
                <anchor moveWithCells="1">
                  <from>
                    <xdr:col>6</xdr:col>
                    <xdr:colOff>142875</xdr:colOff>
                    <xdr:row>49</xdr:row>
                    <xdr:rowOff>38100</xdr:rowOff>
                  </from>
                  <to>
                    <xdr:col>6</xdr:col>
                    <xdr:colOff>447675</xdr:colOff>
                    <xdr:row>49</xdr:row>
                    <xdr:rowOff>257175</xdr:rowOff>
                  </to>
                </anchor>
              </controlPr>
            </control>
          </mc:Choice>
        </mc:AlternateContent>
        <mc:AlternateContent xmlns:mc="http://schemas.openxmlformats.org/markup-compatibility/2006">
          <mc:Choice Requires="x14">
            <control shapeId="1115" r:id="rId34" name="Option Button 91">
              <controlPr defaultSize="0" autoFill="0" autoLine="0" autoPict="0">
                <anchor moveWithCells="1">
                  <from>
                    <xdr:col>6</xdr:col>
                    <xdr:colOff>142875</xdr:colOff>
                    <xdr:row>50</xdr:row>
                    <xdr:rowOff>38100</xdr:rowOff>
                  </from>
                  <to>
                    <xdr:col>6</xdr:col>
                    <xdr:colOff>447675</xdr:colOff>
                    <xdr:row>50</xdr:row>
                    <xdr:rowOff>257175</xdr:rowOff>
                  </to>
                </anchor>
              </controlPr>
            </control>
          </mc:Choice>
        </mc:AlternateContent>
        <mc:AlternateContent xmlns:mc="http://schemas.openxmlformats.org/markup-compatibility/2006">
          <mc:Choice Requires="x14">
            <control shapeId="1116" r:id="rId35" name="Option Button 92">
              <controlPr defaultSize="0" autoFill="0" autoLine="0" autoPict="0">
                <anchor moveWithCells="1">
                  <from>
                    <xdr:col>6</xdr:col>
                    <xdr:colOff>142875</xdr:colOff>
                    <xdr:row>51</xdr:row>
                    <xdr:rowOff>28575</xdr:rowOff>
                  </from>
                  <to>
                    <xdr:col>6</xdr:col>
                    <xdr:colOff>447675</xdr:colOff>
                    <xdr:row>51</xdr:row>
                    <xdr:rowOff>257175</xdr:rowOff>
                  </to>
                </anchor>
              </controlPr>
            </control>
          </mc:Choice>
        </mc:AlternateContent>
        <mc:AlternateContent xmlns:mc="http://schemas.openxmlformats.org/markup-compatibility/2006">
          <mc:Choice Requires="x14">
            <control shapeId="1117" r:id="rId36" name="Option Button 93">
              <controlPr defaultSize="0" autoFill="0" autoLine="0" autoPict="0">
                <anchor moveWithCells="1">
                  <from>
                    <xdr:col>6</xdr:col>
                    <xdr:colOff>104775</xdr:colOff>
                    <xdr:row>57</xdr:row>
                    <xdr:rowOff>104775</xdr:rowOff>
                  </from>
                  <to>
                    <xdr:col>6</xdr:col>
                    <xdr:colOff>381000</xdr:colOff>
                    <xdr:row>57</xdr:row>
                    <xdr:rowOff>333375</xdr:rowOff>
                  </to>
                </anchor>
              </controlPr>
            </control>
          </mc:Choice>
        </mc:AlternateContent>
        <mc:AlternateContent xmlns:mc="http://schemas.openxmlformats.org/markup-compatibility/2006">
          <mc:Choice Requires="x14">
            <control shapeId="1118" r:id="rId37" name="Option Button 94">
              <controlPr defaultSize="0" autoFill="0" autoLine="0" autoPict="0">
                <anchor moveWithCells="1">
                  <from>
                    <xdr:col>6</xdr:col>
                    <xdr:colOff>104775</xdr:colOff>
                    <xdr:row>58</xdr:row>
                    <xdr:rowOff>104775</xdr:rowOff>
                  </from>
                  <to>
                    <xdr:col>6</xdr:col>
                    <xdr:colOff>352425</xdr:colOff>
                    <xdr:row>58</xdr:row>
                    <xdr:rowOff>333375</xdr:rowOff>
                  </to>
                </anchor>
              </controlPr>
            </control>
          </mc:Choice>
        </mc:AlternateContent>
        <mc:AlternateContent xmlns:mc="http://schemas.openxmlformats.org/markup-compatibility/2006">
          <mc:Choice Requires="x14">
            <control shapeId="1119" r:id="rId38" name="Option Button 95">
              <controlPr defaultSize="0" autoFill="0" autoLine="0" autoPict="0">
                <anchor moveWithCells="1">
                  <from>
                    <xdr:col>6</xdr:col>
                    <xdr:colOff>104775</xdr:colOff>
                    <xdr:row>59</xdr:row>
                    <xdr:rowOff>104775</xdr:rowOff>
                  </from>
                  <to>
                    <xdr:col>6</xdr:col>
                    <xdr:colOff>371475</xdr:colOff>
                    <xdr:row>59</xdr:row>
                    <xdr:rowOff>333375</xdr:rowOff>
                  </to>
                </anchor>
              </controlPr>
            </control>
          </mc:Choice>
        </mc:AlternateContent>
        <mc:AlternateContent xmlns:mc="http://schemas.openxmlformats.org/markup-compatibility/2006">
          <mc:Choice Requires="x14">
            <control shapeId="1120" r:id="rId39" name="Option Button 96">
              <controlPr defaultSize="0" autoFill="0" autoLine="0" autoPict="0">
                <anchor moveWithCells="1">
                  <from>
                    <xdr:col>6</xdr:col>
                    <xdr:colOff>104775</xdr:colOff>
                    <xdr:row>60</xdr:row>
                    <xdr:rowOff>104775</xdr:rowOff>
                  </from>
                  <to>
                    <xdr:col>6</xdr:col>
                    <xdr:colOff>381000</xdr:colOff>
                    <xdr:row>60</xdr:row>
                    <xdr:rowOff>333375</xdr:rowOff>
                  </to>
                </anchor>
              </controlPr>
            </control>
          </mc:Choice>
        </mc:AlternateContent>
        <mc:AlternateContent xmlns:mc="http://schemas.openxmlformats.org/markup-compatibility/2006">
          <mc:Choice Requires="x14">
            <control shapeId="1121" r:id="rId40" name="Option Button 97">
              <controlPr defaultSize="0" autoFill="0" autoLine="0" autoPict="0">
                <anchor moveWithCells="1">
                  <from>
                    <xdr:col>6</xdr:col>
                    <xdr:colOff>104775</xdr:colOff>
                    <xdr:row>61</xdr:row>
                    <xdr:rowOff>123825</xdr:rowOff>
                  </from>
                  <to>
                    <xdr:col>6</xdr:col>
                    <xdr:colOff>333375</xdr:colOff>
                    <xdr:row>61</xdr:row>
                    <xdr:rowOff>342900</xdr:rowOff>
                  </to>
                </anchor>
              </controlPr>
            </control>
          </mc:Choice>
        </mc:AlternateContent>
        <mc:AlternateContent xmlns:mc="http://schemas.openxmlformats.org/markup-compatibility/2006">
          <mc:Choice Requires="x14">
            <control shapeId="1143" r:id="rId41" name="Option Button 119">
              <controlPr defaultSize="0" autoFill="0" autoLine="0" autoPict="0">
                <anchor moveWithCells="1">
                  <from>
                    <xdr:col>6</xdr:col>
                    <xdr:colOff>161925</xdr:colOff>
                    <xdr:row>12</xdr:row>
                    <xdr:rowOff>142875</xdr:rowOff>
                  </from>
                  <to>
                    <xdr:col>7</xdr:col>
                    <xdr:colOff>28575</xdr:colOff>
                    <xdr:row>12</xdr:row>
                    <xdr:rowOff>371475</xdr:rowOff>
                  </to>
                </anchor>
              </controlPr>
            </control>
          </mc:Choice>
        </mc:AlternateContent>
        <mc:AlternateContent xmlns:mc="http://schemas.openxmlformats.org/markup-compatibility/2006">
          <mc:Choice Requires="x14">
            <control shapeId="1148" r:id="rId42" name="Option Button 124">
              <controlPr defaultSize="0" autoFill="0" autoLine="0" autoPict="0">
                <anchor moveWithCells="1">
                  <from>
                    <xdr:col>6</xdr:col>
                    <xdr:colOff>161925</xdr:colOff>
                    <xdr:row>13</xdr:row>
                    <xdr:rowOff>28575</xdr:rowOff>
                  </from>
                  <to>
                    <xdr:col>6</xdr:col>
                    <xdr:colOff>419100</xdr:colOff>
                    <xdr:row>13</xdr:row>
                    <xdr:rowOff>257175</xdr:rowOff>
                  </to>
                </anchor>
              </controlPr>
            </control>
          </mc:Choice>
        </mc:AlternateContent>
        <mc:AlternateContent xmlns:mc="http://schemas.openxmlformats.org/markup-compatibility/2006">
          <mc:Choice Requires="x14">
            <control shapeId="1149" r:id="rId43" name="Option Button 125">
              <controlPr defaultSize="0" autoFill="0" autoLine="0" autoPict="0">
                <anchor moveWithCells="1">
                  <from>
                    <xdr:col>6</xdr:col>
                    <xdr:colOff>152400</xdr:colOff>
                    <xdr:row>14</xdr:row>
                    <xdr:rowOff>38100</xdr:rowOff>
                  </from>
                  <to>
                    <xdr:col>6</xdr:col>
                    <xdr:colOff>371475</xdr:colOff>
                    <xdr:row>14</xdr:row>
                    <xdr:rowOff>257175</xdr:rowOff>
                  </to>
                </anchor>
              </controlPr>
            </control>
          </mc:Choice>
        </mc:AlternateContent>
        <mc:AlternateContent xmlns:mc="http://schemas.openxmlformats.org/markup-compatibility/2006">
          <mc:Choice Requires="x14">
            <control shapeId="1150" r:id="rId44" name="Option Button 126">
              <controlPr defaultSize="0" autoFill="0" autoLine="0" autoPict="0">
                <anchor moveWithCells="1">
                  <from>
                    <xdr:col>6</xdr:col>
                    <xdr:colOff>161925</xdr:colOff>
                    <xdr:row>15</xdr:row>
                    <xdr:rowOff>57150</xdr:rowOff>
                  </from>
                  <to>
                    <xdr:col>6</xdr:col>
                    <xdr:colOff>371475</xdr:colOff>
                    <xdr:row>16</xdr:row>
                    <xdr:rowOff>9525</xdr:rowOff>
                  </to>
                </anchor>
              </controlPr>
            </control>
          </mc:Choice>
        </mc:AlternateContent>
        <mc:AlternateContent xmlns:mc="http://schemas.openxmlformats.org/markup-compatibility/2006">
          <mc:Choice Requires="x14">
            <control shapeId="1152" r:id="rId45" name="Option Button 128">
              <controlPr defaultSize="0" autoFill="0" autoLine="0" autoPict="0">
                <anchor moveWithCells="1">
                  <from>
                    <xdr:col>6</xdr:col>
                    <xdr:colOff>161925</xdr:colOff>
                    <xdr:row>16</xdr:row>
                    <xdr:rowOff>28575</xdr:rowOff>
                  </from>
                  <to>
                    <xdr:col>6</xdr:col>
                    <xdr:colOff>381000</xdr:colOff>
                    <xdr:row>16</xdr:row>
                    <xdr:rowOff>257175</xdr:rowOff>
                  </to>
                </anchor>
              </controlPr>
            </control>
          </mc:Choice>
        </mc:AlternateContent>
        <mc:AlternateContent xmlns:mc="http://schemas.openxmlformats.org/markup-compatibility/2006">
          <mc:Choice Requires="x14">
            <control shapeId="1155" r:id="rId46" name="Option Button 131">
              <controlPr defaultSize="0" autoFill="0" autoLine="0" autoPict="0">
                <anchor moveWithCells="1">
                  <from>
                    <xdr:col>6</xdr:col>
                    <xdr:colOff>123825</xdr:colOff>
                    <xdr:row>32</xdr:row>
                    <xdr:rowOff>85725</xdr:rowOff>
                  </from>
                  <to>
                    <xdr:col>6</xdr:col>
                    <xdr:colOff>371475</xdr:colOff>
                    <xdr:row>32</xdr:row>
                    <xdr:rowOff>304800</xdr:rowOff>
                  </to>
                </anchor>
              </controlPr>
            </control>
          </mc:Choice>
        </mc:AlternateContent>
        <mc:AlternateContent xmlns:mc="http://schemas.openxmlformats.org/markup-compatibility/2006">
          <mc:Choice Requires="x14">
            <control shapeId="1156" r:id="rId47" name="Option Button 132">
              <controlPr defaultSize="0" autoFill="0" autoLine="0" autoPict="0">
                <anchor moveWithCells="1">
                  <from>
                    <xdr:col>6</xdr:col>
                    <xdr:colOff>152400</xdr:colOff>
                    <xdr:row>33</xdr:row>
                    <xdr:rowOff>238125</xdr:rowOff>
                  </from>
                  <to>
                    <xdr:col>6</xdr:col>
                    <xdr:colOff>371475</xdr:colOff>
                    <xdr:row>33</xdr:row>
                    <xdr:rowOff>457200</xdr:rowOff>
                  </to>
                </anchor>
              </controlPr>
            </control>
          </mc:Choice>
        </mc:AlternateContent>
        <mc:AlternateContent xmlns:mc="http://schemas.openxmlformats.org/markup-compatibility/2006">
          <mc:Choice Requires="x14">
            <control shapeId="1157" r:id="rId48" name="Option Button 133">
              <controlPr defaultSize="0" autoFill="0" autoLine="0" autoPict="0">
                <anchor moveWithCells="1">
                  <from>
                    <xdr:col>6</xdr:col>
                    <xdr:colOff>152400</xdr:colOff>
                    <xdr:row>34</xdr:row>
                    <xdr:rowOff>9525</xdr:rowOff>
                  </from>
                  <to>
                    <xdr:col>6</xdr:col>
                    <xdr:colOff>371475</xdr:colOff>
                    <xdr:row>34</xdr:row>
                    <xdr:rowOff>238125</xdr:rowOff>
                  </to>
                </anchor>
              </controlPr>
            </control>
          </mc:Choice>
        </mc:AlternateContent>
        <mc:AlternateContent xmlns:mc="http://schemas.openxmlformats.org/markup-compatibility/2006">
          <mc:Choice Requires="x14">
            <control shapeId="1158" r:id="rId49" name="Option Button 134">
              <controlPr defaultSize="0" autoFill="0" autoLine="0" autoPict="0">
                <anchor moveWithCells="1">
                  <from>
                    <xdr:col>6</xdr:col>
                    <xdr:colOff>161925</xdr:colOff>
                    <xdr:row>35</xdr:row>
                    <xdr:rowOff>38100</xdr:rowOff>
                  </from>
                  <to>
                    <xdr:col>6</xdr:col>
                    <xdr:colOff>371475</xdr:colOff>
                    <xdr:row>35</xdr:row>
                    <xdr:rowOff>257175</xdr:rowOff>
                  </to>
                </anchor>
              </controlPr>
            </control>
          </mc:Choice>
        </mc:AlternateContent>
        <mc:AlternateContent xmlns:mc="http://schemas.openxmlformats.org/markup-compatibility/2006">
          <mc:Choice Requires="x14">
            <control shapeId="1159" r:id="rId50" name="Option Button 135">
              <controlPr defaultSize="0" autoFill="0" autoLine="0" autoPict="0">
                <anchor moveWithCells="1">
                  <from>
                    <xdr:col>6</xdr:col>
                    <xdr:colOff>152400</xdr:colOff>
                    <xdr:row>36</xdr:row>
                    <xdr:rowOff>47625</xdr:rowOff>
                  </from>
                  <to>
                    <xdr:col>6</xdr:col>
                    <xdr:colOff>371475</xdr:colOff>
                    <xdr:row>36</xdr:row>
                    <xdr:rowOff>266700</xdr:rowOff>
                  </to>
                </anchor>
              </controlPr>
            </control>
          </mc:Choice>
        </mc:AlternateContent>
        <mc:AlternateContent xmlns:mc="http://schemas.openxmlformats.org/markup-compatibility/2006">
          <mc:Choice Requires="x14">
            <control shapeId="1084" r:id="rId51" name="Group Box 60">
              <controlPr defaultSize="0" autoFill="0" autoPict="0">
                <anchor moveWithCells="1">
                  <from>
                    <xdr:col>6</xdr:col>
                    <xdr:colOff>0</xdr:colOff>
                    <xdr:row>47</xdr:row>
                    <xdr:rowOff>0</xdr:rowOff>
                  </from>
                  <to>
                    <xdr:col>7</xdr:col>
                    <xdr:colOff>38100</xdr:colOff>
                    <xdr:row>51</xdr:row>
                    <xdr:rowOff>266700</xdr:rowOff>
                  </to>
                </anchor>
              </controlPr>
            </control>
          </mc:Choice>
        </mc:AlternateContent>
        <mc:AlternateContent xmlns:mc="http://schemas.openxmlformats.org/markup-compatibility/2006">
          <mc:Choice Requires="x14">
            <control shapeId="1124" r:id="rId52" name="Group Box 100">
              <controlPr defaultSize="0" autoFill="0" autoPict="0">
                <anchor moveWithCells="1">
                  <from>
                    <xdr:col>5</xdr:col>
                    <xdr:colOff>828675</xdr:colOff>
                    <xdr:row>12</xdr:row>
                    <xdr:rowOff>9525</xdr:rowOff>
                  </from>
                  <to>
                    <xdr:col>7</xdr:col>
                    <xdr:colOff>28575</xdr:colOff>
                    <xdr:row>17</xdr:row>
                    <xdr:rowOff>28575</xdr:rowOff>
                  </to>
                </anchor>
              </controlPr>
            </control>
          </mc:Choice>
        </mc:AlternateContent>
        <mc:AlternateContent xmlns:mc="http://schemas.openxmlformats.org/markup-compatibility/2006">
          <mc:Choice Requires="x14">
            <control shapeId="1078" r:id="rId53" name="Group Box 54">
              <controlPr defaultSize="0" autoFill="0" autoPict="0">
                <anchor moveWithCells="1">
                  <from>
                    <xdr:col>6</xdr:col>
                    <xdr:colOff>0</xdr:colOff>
                    <xdr:row>42</xdr:row>
                    <xdr:rowOff>0</xdr:rowOff>
                  </from>
                  <to>
                    <xdr:col>7</xdr:col>
                    <xdr:colOff>38100</xdr:colOff>
                    <xdr:row>47</xdr:row>
                    <xdr:rowOff>0</xdr:rowOff>
                  </to>
                </anchor>
              </controlPr>
            </control>
          </mc:Choice>
        </mc:AlternateContent>
        <mc:AlternateContent xmlns:mc="http://schemas.openxmlformats.org/markup-compatibility/2006">
          <mc:Choice Requires="x14">
            <control shapeId="1168" r:id="rId54" name="Group Box 144">
              <controlPr defaultSize="0" autoFill="0" autoPict="0">
                <anchor moveWithCells="1">
                  <from>
                    <xdr:col>6</xdr:col>
                    <xdr:colOff>9525</xdr:colOff>
                    <xdr:row>7</xdr:row>
                    <xdr:rowOff>28575</xdr:rowOff>
                  </from>
                  <to>
                    <xdr:col>7</xdr:col>
                    <xdr:colOff>47625</xdr:colOff>
                    <xdr:row>12</xdr:row>
                    <xdr:rowOff>0</xdr:rowOff>
                  </to>
                </anchor>
              </controlPr>
            </control>
          </mc:Choice>
        </mc:AlternateContent>
        <mc:AlternateContent xmlns:mc="http://schemas.openxmlformats.org/markup-compatibility/2006">
          <mc:Choice Requires="x14">
            <control shapeId="1169" r:id="rId55" name="Option Button 145">
              <controlPr defaultSize="0" autoFill="0" autoLine="0" autoPict="0">
                <anchor moveWithCells="1">
                  <from>
                    <xdr:col>6</xdr:col>
                    <xdr:colOff>142875</xdr:colOff>
                    <xdr:row>7</xdr:row>
                    <xdr:rowOff>133350</xdr:rowOff>
                  </from>
                  <to>
                    <xdr:col>6</xdr:col>
                    <xdr:colOff>447675</xdr:colOff>
                    <xdr:row>7</xdr:row>
                    <xdr:rowOff>352425</xdr:rowOff>
                  </to>
                </anchor>
              </controlPr>
            </control>
          </mc:Choice>
        </mc:AlternateContent>
        <mc:AlternateContent xmlns:mc="http://schemas.openxmlformats.org/markup-compatibility/2006">
          <mc:Choice Requires="x14">
            <control shapeId="1170" r:id="rId56" name="Option Button 146">
              <controlPr defaultSize="0" autoFill="0" autoLine="0" autoPict="0">
                <anchor moveWithCells="1">
                  <from>
                    <xdr:col>6</xdr:col>
                    <xdr:colOff>142875</xdr:colOff>
                    <xdr:row>8</xdr:row>
                    <xdr:rowOff>114300</xdr:rowOff>
                  </from>
                  <to>
                    <xdr:col>6</xdr:col>
                    <xdr:colOff>447675</xdr:colOff>
                    <xdr:row>8</xdr:row>
                    <xdr:rowOff>333375</xdr:rowOff>
                  </to>
                </anchor>
              </controlPr>
            </control>
          </mc:Choice>
        </mc:AlternateContent>
        <mc:AlternateContent xmlns:mc="http://schemas.openxmlformats.org/markup-compatibility/2006">
          <mc:Choice Requires="x14">
            <control shapeId="1171" r:id="rId57" name="Option Button 147">
              <controlPr defaultSize="0" autoFill="0" autoLine="0" autoPict="0">
                <anchor moveWithCells="1">
                  <from>
                    <xdr:col>6</xdr:col>
                    <xdr:colOff>142875</xdr:colOff>
                    <xdr:row>9</xdr:row>
                    <xdr:rowOff>85725</xdr:rowOff>
                  </from>
                  <to>
                    <xdr:col>6</xdr:col>
                    <xdr:colOff>447675</xdr:colOff>
                    <xdr:row>9</xdr:row>
                    <xdr:rowOff>342900</xdr:rowOff>
                  </to>
                </anchor>
              </controlPr>
            </control>
          </mc:Choice>
        </mc:AlternateContent>
        <mc:AlternateContent xmlns:mc="http://schemas.openxmlformats.org/markup-compatibility/2006">
          <mc:Choice Requires="x14">
            <control shapeId="1172" r:id="rId58" name="Option Button 148">
              <controlPr defaultSize="0" autoFill="0" autoLine="0" autoPict="0">
                <anchor moveWithCells="1">
                  <from>
                    <xdr:col>6</xdr:col>
                    <xdr:colOff>142875</xdr:colOff>
                    <xdr:row>10</xdr:row>
                    <xdr:rowOff>85725</xdr:rowOff>
                  </from>
                  <to>
                    <xdr:col>6</xdr:col>
                    <xdr:colOff>447675</xdr:colOff>
                    <xdr:row>10</xdr:row>
                    <xdr:rowOff>342900</xdr:rowOff>
                  </to>
                </anchor>
              </controlPr>
            </control>
          </mc:Choice>
        </mc:AlternateContent>
        <mc:AlternateContent xmlns:mc="http://schemas.openxmlformats.org/markup-compatibility/2006">
          <mc:Choice Requires="x14">
            <control shapeId="1173" r:id="rId59" name="Option Button 149">
              <controlPr defaultSize="0" autoFill="0" autoLine="0" autoPict="0">
                <anchor moveWithCells="1">
                  <from>
                    <xdr:col>6</xdr:col>
                    <xdr:colOff>142875</xdr:colOff>
                    <xdr:row>11</xdr:row>
                    <xdr:rowOff>114300</xdr:rowOff>
                  </from>
                  <to>
                    <xdr:col>6</xdr:col>
                    <xdr:colOff>447675</xdr:colOff>
                    <xdr:row>11</xdr:row>
                    <xdr:rowOff>342900</xdr:rowOff>
                  </to>
                </anchor>
              </controlPr>
            </control>
          </mc:Choice>
        </mc:AlternateContent>
        <mc:AlternateContent xmlns:mc="http://schemas.openxmlformats.org/markup-compatibility/2006">
          <mc:Choice Requires="x14">
            <control shapeId="1174" r:id="rId60" name="Option Button 150">
              <controlPr defaultSize="0" autoFill="0" autoLine="0" autoPict="0">
                <anchor moveWithCells="1">
                  <from>
                    <xdr:col>6</xdr:col>
                    <xdr:colOff>142875</xdr:colOff>
                    <xdr:row>17</xdr:row>
                    <xdr:rowOff>152400</xdr:rowOff>
                  </from>
                  <to>
                    <xdr:col>6</xdr:col>
                    <xdr:colOff>447675</xdr:colOff>
                    <xdr:row>17</xdr:row>
                    <xdr:rowOff>371475</xdr:rowOff>
                  </to>
                </anchor>
              </controlPr>
            </control>
          </mc:Choice>
        </mc:AlternateContent>
        <mc:AlternateContent xmlns:mc="http://schemas.openxmlformats.org/markup-compatibility/2006">
          <mc:Choice Requires="x14">
            <control shapeId="1175" r:id="rId61" name="Option Button 151">
              <controlPr defaultSize="0" autoFill="0" autoLine="0" autoPict="0">
                <anchor moveWithCells="1">
                  <from>
                    <xdr:col>6</xdr:col>
                    <xdr:colOff>142875</xdr:colOff>
                    <xdr:row>18</xdr:row>
                    <xdr:rowOff>142875</xdr:rowOff>
                  </from>
                  <to>
                    <xdr:col>6</xdr:col>
                    <xdr:colOff>447675</xdr:colOff>
                    <xdr:row>18</xdr:row>
                    <xdr:rowOff>361950</xdr:rowOff>
                  </to>
                </anchor>
              </controlPr>
            </control>
          </mc:Choice>
        </mc:AlternateContent>
        <mc:AlternateContent xmlns:mc="http://schemas.openxmlformats.org/markup-compatibility/2006">
          <mc:Choice Requires="x14">
            <control shapeId="1176" r:id="rId62" name="Option Button 152">
              <controlPr defaultSize="0" autoFill="0" autoLine="0" autoPict="0">
                <anchor moveWithCells="1">
                  <from>
                    <xdr:col>6</xdr:col>
                    <xdr:colOff>142875</xdr:colOff>
                    <xdr:row>19</xdr:row>
                    <xdr:rowOff>152400</xdr:rowOff>
                  </from>
                  <to>
                    <xdr:col>6</xdr:col>
                    <xdr:colOff>447675</xdr:colOff>
                    <xdr:row>19</xdr:row>
                    <xdr:rowOff>371475</xdr:rowOff>
                  </to>
                </anchor>
              </controlPr>
            </control>
          </mc:Choice>
        </mc:AlternateContent>
        <mc:AlternateContent xmlns:mc="http://schemas.openxmlformats.org/markup-compatibility/2006">
          <mc:Choice Requires="x14">
            <control shapeId="1177" r:id="rId63" name="Option Button 153">
              <controlPr defaultSize="0" autoFill="0" autoLine="0" autoPict="0">
                <anchor moveWithCells="1">
                  <from>
                    <xdr:col>6</xdr:col>
                    <xdr:colOff>142875</xdr:colOff>
                    <xdr:row>20</xdr:row>
                    <xdr:rowOff>161925</xdr:rowOff>
                  </from>
                  <to>
                    <xdr:col>6</xdr:col>
                    <xdr:colOff>447675</xdr:colOff>
                    <xdr:row>20</xdr:row>
                    <xdr:rowOff>381000</xdr:rowOff>
                  </to>
                </anchor>
              </controlPr>
            </control>
          </mc:Choice>
        </mc:AlternateContent>
        <mc:AlternateContent xmlns:mc="http://schemas.openxmlformats.org/markup-compatibility/2006">
          <mc:Choice Requires="x14">
            <control shapeId="1178" r:id="rId64" name="Option Button 154">
              <controlPr defaultSize="0" autoFill="0" autoLine="0" autoPict="0">
                <anchor moveWithCells="1">
                  <from>
                    <xdr:col>6</xdr:col>
                    <xdr:colOff>142875</xdr:colOff>
                    <xdr:row>21</xdr:row>
                    <xdr:rowOff>133350</xdr:rowOff>
                  </from>
                  <to>
                    <xdr:col>6</xdr:col>
                    <xdr:colOff>447675</xdr:colOff>
                    <xdr:row>21</xdr:row>
                    <xdr:rowOff>352425</xdr:rowOff>
                  </to>
                </anchor>
              </controlPr>
            </control>
          </mc:Choice>
        </mc:AlternateContent>
        <mc:AlternateContent xmlns:mc="http://schemas.openxmlformats.org/markup-compatibility/2006">
          <mc:Choice Requires="x14">
            <control shapeId="1179" r:id="rId65" name="Group Box 155">
              <controlPr defaultSize="0" autoFill="0" autoPict="0">
                <anchor moveWithCells="1">
                  <from>
                    <xdr:col>6</xdr:col>
                    <xdr:colOff>9525</xdr:colOff>
                    <xdr:row>21</xdr:row>
                    <xdr:rowOff>485775</xdr:rowOff>
                  </from>
                  <to>
                    <xdr:col>7</xdr:col>
                    <xdr:colOff>28575</xdr:colOff>
                    <xdr:row>26</xdr:row>
                    <xdr:rowOff>390525</xdr:rowOff>
                  </to>
                </anchor>
              </controlPr>
            </control>
          </mc:Choice>
        </mc:AlternateContent>
        <mc:AlternateContent xmlns:mc="http://schemas.openxmlformats.org/markup-compatibility/2006">
          <mc:Choice Requires="x14">
            <control shapeId="1180" r:id="rId66" name="Option Button 156">
              <controlPr defaultSize="0" autoFill="0" autoLine="0" autoPict="0">
                <anchor moveWithCells="1">
                  <from>
                    <xdr:col>6</xdr:col>
                    <xdr:colOff>133350</xdr:colOff>
                    <xdr:row>22</xdr:row>
                    <xdr:rowOff>95250</xdr:rowOff>
                  </from>
                  <to>
                    <xdr:col>6</xdr:col>
                    <xdr:colOff>438150</xdr:colOff>
                    <xdr:row>22</xdr:row>
                    <xdr:rowOff>314325</xdr:rowOff>
                  </to>
                </anchor>
              </controlPr>
            </control>
          </mc:Choice>
        </mc:AlternateContent>
        <mc:AlternateContent xmlns:mc="http://schemas.openxmlformats.org/markup-compatibility/2006">
          <mc:Choice Requires="x14">
            <control shapeId="1181" r:id="rId67" name="Option Button 157">
              <controlPr defaultSize="0" autoFill="0" autoLine="0" autoPict="0">
                <anchor moveWithCells="1">
                  <from>
                    <xdr:col>6</xdr:col>
                    <xdr:colOff>133350</xdr:colOff>
                    <xdr:row>23</xdr:row>
                    <xdr:rowOff>76200</xdr:rowOff>
                  </from>
                  <to>
                    <xdr:col>6</xdr:col>
                    <xdr:colOff>438150</xdr:colOff>
                    <xdr:row>23</xdr:row>
                    <xdr:rowOff>295275</xdr:rowOff>
                  </to>
                </anchor>
              </controlPr>
            </control>
          </mc:Choice>
        </mc:AlternateContent>
        <mc:AlternateContent xmlns:mc="http://schemas.openxmlformats.org/markup-compatibility/2006">
          <mc:Choice Requires="x14">
            <control shapeId="1182" r:id="rId68" name="Option Button 158">
              <controlPr defaultSize="0" autoFill="0" autoLine="0" autoPict="0">
                <anchor moveWithCells="1">
                  <from>
                    <xdr:col>6</xdr:col>
                    <xdr:colOff>133350</xdr:colOff>
                    <xdr:row>24</xdr:row>
                    <xdr:rowOff>123825</xdr:rowOff>
                  </from>
                  <to>
                    <xdr:col>6</xdr:col>
                    <xdr:colOff>438150</xdr:colOff>
                    <xdr:row>24</xdr:row>
                    <xdr:rowOff>342900</xdr:rowOff>
                  </to>
                </anchor>
              </controlPr>
            </control>
          </mc:Choice>
        </mc:AlternateContent>
        <mc:AlternateContent xmlns:mc="http://schemas.openxmlformats.org/markup-compatibility/2006">
          <mc:Choice Requires="x14">
            <control shapeId="1183" r:id="rId69" name="Option Button 159">
              <controlPr defaultSize="0" autoFill="0" autoLine="0" autoPict="0">
                <anchor moveWithCells="1">
                  <from>
                    <xdr:col>6</xdr:col>
                    <xdr:colOff>133350</xdr:colOff>
                    <xdr:row>25</xdr:row>
                    <xdr:rowOff>104775</xdr:rowOff>
                  </from>
                  <to>
                    <xdr:col>6</xdr:col>
                    <xdr:colOff>438150</xdr:colOff>
                    <xdr:row>25</xdr:row>
                    <xdr:rowOff>323850</xdr:rowOff>
                  </to>
                </anchor>
              </controlPr>
            </control>
          </mc:Choice>
        </mc:AlternateContent>
        <mc:AlternateContent xmlns:mc="http://schemas.openxmlformats.org/markup-compatibility/2006">
          <mc:Choice Requires="x14">
            <control shapeId="1184" r:id="rId70" name="Option Button 160">
              <controlPr defaultSize="0" autoFill="0" autoLine="0" autoPict="0">
                <anchor moveWithCells="1">
                  <from>
                    <xdr:col>6</xdr:col>
                    <xdr:colOff>133350</xdr:colOff>
                    <xdr:row>26</xdr:row>
                    <xdr:rowOff>95250</xdr:rowOff>
                  </from>
                  <to>
                    <xdr:col>6</xdr:col>
                    <xdr:colOff>438150</xdr:colOff>
                    <xdr:row>26</xdr:row>
                    <xdr:rowOff>314325</xdr:rowOff>
                  </to>
                </anchor>
              </controlPr>
            </control>
          </mc:Choice>
        </mc:AlternateContent>
        <mc:AlternateContent xmlns:mc="http://schemas.openxmlformats.org/markup-compatibility/2006">
          <mc:Choice Requires="x14">
            <control shapeId="1185" r:id="rId71" name="Option Button 161">
              <controlPr defaultSize="0" autoFill="0" autoLine="0" autoPict="0">
                <anchor moveWithCells="1">
                  <from>
                    <xdr:col>6</xdr:col>
                    <xdr:colOff>142875</xdr:colOff>
                    <xdr:row>42</xdr:row>
                    <xdr:rowOff>133350</xdr:rowOff>
                  </from>
                  <to>
                    <xdr:col>6</xdr:col>
                    <xdr:colOff>447675</xdr:colOff>
                    <xdr:row>42</xdr:row>
                    <xdr:rowOff>400050</xdr:rowOff>
                  </to>
                </anchor>
              </controlPr>
            </control>
          </mc:Choice>
        </mc:AlternateContent>
        <mc:AlternateContent xmlns:mc="http://schemas.openxmlformats.org/markup-compatibility/2006">
          <mc:Choice Requires="x14">
            <control shapeId="1186" r:id="rId72" name="Option Button 162">
              <controlPr defaultSize="0" autoFill="0" autoLine="0" autoPict="0">
                <anchor moveWithCells="1">
                  <from>
                    <xdr:col>6</xdr:col>
                    <xdr:colOff>142875</xdr:colOff>
                    <xdr:row>43</xdr:row>
                    <xdr:rowOff>152400</xdr:rowOff>
                  </from>
                  <to>
                    <xdr:col>6</xdr:col>
                    <xdr:colOff>447675</xdr:colOff>
                    <xdr:row>43</xdr:row>
                    <xdr:rowOff>371475</xdr:rowOff>
                  </to>
                </anchor>
              </controlPr>
            </control>
          </mc:Choice>
        </mc:AlternateContent>
        <mc:AlternateContent xmlns:mc="http://schemas.openxmlformats.org/markup-compatibility/2006">
          <mc:Choice Requires="x14">
            <control shapeId="1187" r:id="rId73" name="Option Button 163">
              <controlPr defaultSize="0" autoFill="0" autoLine="0" autoPict="0">
                <anchor moveWithCells="1">
                  <from>
                    <xdr:col>6</xdr:col>
                    <xdr:colOff>142875</xdr:colOff>
                    <xdr:row>44</xdr:row>
                    <xdr:rowOff>142875</xdr:rowOff>
                  </from>
                  <to>
                    <xdr:col>6</xdr:col>
                    <xdr:colOff>447675</xdr:colOff>
                    <xdr:row>44</xdr:row>
                    <xdr:rowOff>361950</xdr:rowOff>
                  </to>
                </anchor>
              </controlPr>
            </control>
          </mc:Choice>
        </mc:AlternateContent>
        <mc:AlternateContent xmlns:mc="http://schemas.openxmlformats.org/markup-compatibility/2006">
          <mc:Choice Requires="x14">
            <control shapeId="1188" r:id="rId74" name="Option Button 164">
              <controlPr defaultSize="0" autoFill="0" autoLine="0" autoPict="0">
                <anchor moveWithCells="1">
                  <from>
                    <xdr:col>6</xdr:col>
                    <xdr:colOff>142875</xdr:colOff>
                    <xdr:row>45</xdr:row>
                    <xdr:rowOff>171450</xdr:rowOff>
                  </from>
                  <to>
                    <xdr:col>6</xdr:col>
                    <xdr:colOff>447675</xdr:colOff>
                    <xdr:row>45</xdr:row>
                    <xdr:rowOff>390525</xdr:rowOff>
                  </to>
                </anchor>
              </controlPr>
            </control>
          </mc:Choice>
        </mc:AlternateContent>
        <mc:AlternateContent xmlns:mc="http://schemas.openxmlformats.org/markup-compatibility/2006">
          <mc:Choice Requires="x14">
            <control shapeId="1189" r:id="rId75" name="Option Button 165">
              <controlPr defaultSize="0" autoFill="0" autoLine="0" autoPict="0">
                <anchor moveWithCells="1">
                  <from>
                    <xdr:col>6</xdr:col>
                    <xdr:colOff>142875</xdr:colOff>
                    <xdr:row>46</xdr:row>
                    <xdr:rowOff>152400</xdr:rowOff>
                  </from>
                  <to>
                    <xdr:col>6</xdr:col>
                    <xdr:colOff>447675</xdr:colOff>
                    <xdr:row>46</xdr:row>
                    <xdr:rowOff>371475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8">
    <pageSetUpPr fitToPage="1"/>
  </sheetPr>
  <dimension ref="A1:AX33"/>
  <sheetViews>
    <sheetView zoomScale="90" zoomScaleNormal="90" workbookViewId="0">
      <pane ySplit="2" topLeftCell="A20" activePane="bottomLeft" state="frozen"/>
      <selection activeCell="F19" sqref="F19"/>
      <selection pane="bottomLeft" activeCell="B28" sqref="B28"/>
    </sheetView>
  </sheetViews>
  <sheetFormatPr baseColWidth="10" defaultColWidth="11.42578125" defaultRowHeight="21.75" customHeight="1"/>
  <cols>
    <col min="1" max="1" width="4.42578125" style="9" customWidth="1"/>
    <col min="2" max="2" width="48.5703125" style="9" customWidth="1"/>
    <col min="3" max="3" width="9.42578125" style="62" customWidth="1"/>
    <col min="4" max="4" width="80.85546875" style="20" customWidth="1"/>
    <col min="5" max="5" width="18" style="121" customWidth="1"/>
    <col min="6" max="6" width="12.42578125" style="3" customWidth="1"/>
    <col min="7" max="7" width="7.42578125" style="3" customWidth="1"/>
    <col min="8" max="8" width="12.42578125" style="3" customWidth="1"/>
    <col min="9" max="9" width="9.42578125" style="7" hidden="1" customWidth="1"/>
    <col min="10" max="10" width="8.140625" style="7" hidden="1" customWidth="1"/>
    <col min="11" max="11" width="41.85546875" style="3" customWidth="1"/>
    <col min="12" max="16384" width="11.42578125" style="3"/>
  </cols>
  <sheetData>
    <row r="1" spans="1:50" s="2" customFormat="1" ht="21.75" customHeight="1">
      <c r="A1" s="98" t="s">
        <v>31</v>
      </c>
      <c r="B1" s="74"/>
      <c r="C1" s="63" t="s">
        <v>170</v>
      </c>
      <c r="D1" s="75"/>
      <c r="E1" s="155"/>
      <c r="F1" s="76"/>
      <c r="G1" s="218" t="s">
        <v>10</v>
      </c>
      <c r="H1" s="117">
        <f>'4_Nachweiserbringung'!F91</f>
        <v>0</v>
      </c>
      <c r="I1" s="64"/>
      <c r="J1" s="64"/>
      <c r="K1" s="77"/>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1"/>
      <c r="AX1" s="1"/>
    </row>
    <row r="2" spans="1:50" s="4" customFormat="1" ht="66" customHeight="1">
      <c r="A2" s="79" t="s">
        <v>11</v>
      </c>
      <c r="B2" s="80" t="s">
        <v>12</v>
      </c>
      <c r="C2" s="81" t="s">
        <v>13</v>
      </c>
      <c r="D2" s="82" t="s">
        <v>14</v>
      </c>
      <c r="E2" s="239" t="s">
        <v>171</v>
      </c>
      <c r="F2" s="82" t="s">
        <v>16</v>
      </c>
      <c r="G2" s="81" t="s">
        <v>17</v>
      </c>
      <c r="H2" s="82" t="s">
        <v>18</v>
      </c>
      <c r="I2" s="83" t="s">
        <v>19</v>
      </c>
      <c r="J2" s="84" t="s">
        <v>14</v>
      </c>
      <c r="K2" s="85" t="s">
        <v>20</v>
      </c>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0" ht="26.25" customHeight="1">
      <c r="A3" s="228">
        <v>19</v>
      </c>
      <c r="B3" s="234" t="s">
        <v>460</v>
      </c>
      <c r="C3" s="66">
        <v>0</v>
      </c>
      <c r="D3" s="59" t="s">
        <v>172</v>
      </c>
      <c r="E3" s="114" t="s">
        <v>112</v>
      </c>
      <c r="F3" s="44">
        <v>0</v>
      </c>
      <c r="G3" s="29"/>
      <c r="H3" s="30"/>
      <c r="I3" s="7">
        <v>1</v>
      </c>
      <c r="J3" s="87" t="s">
        <v>23</v>
      </c>
      <c r="K3" s="516" t="s">
        <v>461</v>
      </c>
    </row>
    <row r="4" spans="1:50" ht="21.75" customHeight="1">
      <c r="A4" s="223"/>
      <c r="B4" s="224" t="s">
        <v>113</v>
      </c>
      <c r="C4" s="66" t="s">
        <v>8</v>
      </c>
      <c r="D4" s="60" t="s">
        <v>173</v>
      </c>
      <c r="E4" s="115" t="s">
        <v>112</v>
      </c>
      <c r="F4" s="10">
        <v>5.0000000000000001E-3</v>
      </c>
      <c r="G4" s="6"/>
      <c r="H4" s="11"/>
      <c r="K4" s="488"/>
    </row>
    <row r="5" spans="1:50" ht="32.25" customHeight="1">
      <c r="A5" s="223"/>
      <c r="B5" s="503" t="s">
        <v>174</v>
      </c>
      <c r="C5" s="66" t="s">
        <v>28</v>
      </c>
      <c r="D5" s="60" t="s">
        <v>175</v>
      </c>
      <c r="E5" s="115" t="s">
        <v>112</v>
      </c>
      <c r="F5" s="10">
        <v>0.01</v>
      </c>
      <c r="G5" s="6"/>
      <c r="H5" s="11"/>
      <c r="K5" s="488"/>
    </row>
    <row r="6" spans="1:50" ht="32.25" customHeight="1">
      <c r="A6" s="223"/>
      <c r="B6" s="503"/>
      <c r="C6" s="66" t="s">
        <v>31</v>
      </c>
      <c r="D6" s="60" t="s">
        <v>176</v>
      </c>
      <c r="E6" s="115" t="s">
        <v>112</v>
      </c>
      <c r="F6" s="10">
        <v>0.02</v>
      </c>
      <c r="G6" s="6"/>
      <c r="H6" s="11"/>
      <c r="K6" s="488"/>
    </row>
    <row r="7" spans="1:50" ht="32.25" customHeight="1">
      <c r="A7" s="225"/>
      <c r="B7" s="504"/>
      <c r="C7" s="67" t="s">
        <v>33</v>
      </c>
      <c r="D7" s="61" t="s">
        <v>177</v>
      </c>
      <c r="E7" s="116" t="s">
        <v>112</v>
      </c>
      <c r="F7" s="14">
        <v>0.04</v>
      </c>
      <c r="G7" s="15"/>
      <c r="H7" s="16">
        <f>IF(I3=1,F3,(IF(I3=2,F4,IF(I3=3,F5,IF(I3=4,F6,IF(I3=5,F7,""))))))*(1+IF('3D_Menüzusammensetzung'!I13=2,0.2,IF('3D_Menüzusammensetzung'!I13=3,0.5,IF('3D_Menüzusammensetzung'!I13=4,0.8,IF('3D_Menüzusammensetzung'!I13=5,1.1)))))</f>
        <v>0</v>
      </c>
      <c r="I7" s="88">
        <f>IF(I3=1,F3,(IF(I3=2,F4,IF(I3=3,F5,IF(I3=4,F6,IF(I3=5,F7,""))))))</f>
        <v>0</v>
      </c>
      <c r="J7" s="7" t="s">
        <v>35</v>
      </c>
      <c r="K7" s="489"/>
    </row>
    <row r="8" spans="1:50" s="8" customFormat="1" ht="33" customHeight="1">
      <c r="A8" s="89">
        <v>20</v>
      </c>
      <c r="B8" s="99" t="s">
        <v>178</v>
      </c>
      <c r="C8" s="68">
        <v>0</v>
      </c>
      <c r="D8" s="18" t="s">
        <v>22</v>
      </c>
      <c r="E8" s="123">
        <v>7</v>
      </c>
      <c r="F8" s="90">
        <v>0</v>
      </c>
      <c r="H8" s="19"/>
      <c r="I8" s="87">
        <v>1</v>
      </c>
      <c r="J8" s="87" t="s">
        <v>23</v>
      </c>
      <c r="K8" s="52"/>
    </row>
    <row r="9" spans="1:50" ht="21.75" customHeight="1">
      <c r="A9" s="72"/>
      <c r="B9" s="514" t="s">
        <v>179</v>
      </c>
      <c r="C9" s="69" t="s">
        <v>8</v>
      </c>
      <c r="D9" s="193" t="s">
        <v>180</v>
      </c>
      <c r="E9" s="123">
        <v>5.25</v>
      </c>
      <c r="F9" s="92">
        <f>F10/2</f>
        <v>4.5999999999999999E-3</v>
      </c>
      <c r="H9" s="21"/>
      <c r="K9" s="53"/>
    </row>
    <row r="10" spans="1:50" ht="21.75" customHeight="1">
      <c r="A10" s="72"/>
      <c r="B10" s="514"/>
      <c r="C10" s="69" t="s">
        <v>28</v>
      </c>
      <c r="D10" s="193" t="s">
        <v>181</v>
      </c>
      <c r="E10" s="123">
        <v>3.5</v>
      </c>
      <c r="F10" s="92">
        <v>9.1999999999999998E-3</v>
      </c>
      <c r="H10" s="21"/>
      <c r="K10" s="53"/>
    </row>
    <row r="11" spans="1:50" ht="21.75" customHeight="1">
      <c r="A11" s="72"/>
      <c r="C11" s="69" t="s">
        <v>31</v>
      </c>
      <c r="D11" s="193" t="s">
        <v>182</v>
      </c>
      <c r="E11" s="123">
        <v>1.75</v>
      </c>
      <c r="F11" s="93">
        <v>1.38E-2</v>
      </c>
      <c r="H11" s="21"/>
      <c r="K11" s="53"/>
    </row>
    <row r="12" spans="1:50" ht="21.75" customHeight="1">
      <c r="A12" s="73"/>
      <c r="B12" s="12"/>
      <c r="C12" s="70" t="s">
        <v>33</v>
      </c>
      <c r="D12" s="194" t="s">
        <v>183</v>
      </c>
      <c r="E12" s="124">
        <v>0</v>
      </c>
      <c r="F12" s="24">
        <v>1.84E-2</v>
      </c>
      <c r="G12" s="25"/>
      <c r="H12" s="26">
        <f>IF(I8=1,F8,(IF(I8=2,F9,IF(I8=3,F10,IF(I8=4,F11,IF(I8=5,F12,""))))))</f>
        <v>0</v>
      </c>
      <c r="I12" s="88">
        <f>IF(I8=1,E8,(IF(I8=2,E9,IF(I8=3,E10,IF(I8=4,E11,IF(I8=5,E12,""))))))</f>
        <v>7</v>
      </c>
      <c r="J12" s="7" t="s">
        <v>35</v>
      </c>
      <c r="K12" s="54"/>
    </row>
    <row r="13" spans="1:50" ht="30" customHeight="1">
      <c r="A13" s="228">
        <v>21</v>
      </c>
      <c r="B13" s="233" t="s">
        <v>184</v>
      </c>
      <c r="C13" s="65">
        <v>0</v>
      </c>
      <c r="D13" s="59" t="s">
        <v>22</v>
      </c>
      <c r="E13" s="156">
        <f>ROUND(MID($B$14,11,1),2)</f>
        <v>7</v>
      </c>
      <c r="F13" s="28">
        <v>0</v>
      </c>
      <c r="G13" s="29"/>
      <c r="H13" s="30"/>
      <c r="I13" s="7">
        <v>1</v>
      </c>
      <c r="J13" s="87" t="s">
        <v>23</v>
      </c>
      <c r="K13" s="496" t="s">
        <v>185</v>
      </c>
    </row>
    <row r="14" spans="1:50" ht="21.75" customHeight="1">
      <c r="A14" s="223"/>
      <c r="B14" s="224" t="s">
        <v>186</v>
      </c>
      <c r="C14" s="66" t="s">
        <v>8</v>
      </c>
      <c r="D14" s="60" t="s">
        <v>187</v>
      </c>
      <c r="E14" s="157">
        <f>ROUND(MID($B$14,11,1),2)-ROUND(MID($B$14,11,1)*LEFT(D14,2)/100,2)</f>
        <v>4.9000000000000004</v>
      </c>
      <c r="F14" s="31">
        <v>6.3E-3</v>
      </c>
      <c r="G14" s="6"/>
      <c r="H14" s="11"/>
      <c r="K14" s="497"/>
    </row>
    <row r="15" spans="1:50" ht="21.75" customHeight="1">
      <c r="A15" s="223"/>
      <c r="B15" s="480"/>
      <c r="C15" s="66" t="s">
        <v>28</v>
      </c>
      <c r="D15" s="60" t="s">
        <v>188</v>
      </c>
      <c r="E15" s="157">
        <f>ROUND(MID($B$14,11,1),2)-ROUND(MID($B$14,11,1)*LEFT(D15,2)/100,2)</f>
        <v>3.5</v>
      </c>
      <c r="F15" s="31">
        <v>1.0500000000000001E-2</v>
      </c>
      <c r="G15" s="6"/>
      <c r="H15" s="11"/>
      <c r="K15" s="497"/>
    </row>
    <row r="16" spans="1:50" ht="21.75" customHeight="1">
      <c r="A16" s="223"/>
      <c r="B16" s="480"/>
      <c r="C16" s="66" t="s">
        <v>31</v>
      </c>
      <c r="D16" s="60" t="s">
        <v>189</v>
      </c>
      <c r="E16" s="157">
        <f>ROUND(MID($B$14,11,1),2)-ROUND(MID($B$14,11,1)*LEFT(D16,2)/100,2)</f>
        <v>1.75</v>
      </c>
      <c r="F16" s="31">
        <v>1.5800000000000002E-2</v>
      </c>
      <c r="G16" s="6"/>
      <c r="H16" s="11"/>
      <c r="K16" s="497"/>
    </row>
    <row r="17" spans="1:11" ht="21.75" customHeight="1">
      <c r="A17" s="225"/>
      <c r="B17" s="515"/>
      <c r="C17" s="67" t="s">
        <v>33</v>
      </c>
      <c r="D17" s="61" t="s">
        <v>190</v>
      </c>
      <c r="E17" s="158">
        <f>ROUND(MID($B$14,11,1),2)-ROUND(MID($B$14,11,1)*LEFT(D17,3)/100,2)</f>
        <v>0</v>
      </c>
      <c r="F17" s="32">
        <v>2.1000000000000001E-2</v>
      </c>
      <c r="G17" s="15"/>
      <c r="H17" s="16">
        <f>IF(I13=1,F13,(IF(I13=2,F14,IF(I13=3,F15,IF(I13=4,F16,IF(I13=5,F17,""))))))</f>
        <v>0</v>
      </c>
      <c r="I17" s="88">
        <f>IF(I13=1,E13,(IF(I13=2,E14,IF(I13=3,E15,IF(I13=4,E16,IF(I13=5,E17,""))))))</f>
        <v>7</v>
      </c>
      <c r="J17" s="7" t="s">
        <v>35</v>
      </c>
      <c r="K17" s="498"/>
    </row>
    <row r="18" spans="1:11" ht="30.75" customHeight="1">
      <c r="A18" s="72">
        <v>22</v>
      </c>
      <c r="B18" s="33" t="s">
        <v>191</v>
      </c>
      <c r="C18" s="71">
        <v>0</v>
      </c>
      <c r="D18" s="20" t="s">
        <v>22</v>
      </c>
      <c r="E18" s="108" t="s">
        <v>112</v>
      </c>
      <c r="F18" s="93">
        <v>0</v>
      </c>
      <c r="H18" s="21"/>
      <c r="I18" s="7">
        <v>1</v>
      </c>
      <c r="J18" s="87" t="s">
        <v>23</v>
      </c>
      <c r="K18" s="53"/>
    </row>
    <row r="19" spans="1:11" ht="21.75" customHeight="1">
      <c r="A19" s="72"/>
      <c r="B19" s="512" t="s">
        <v>192</v>
      </c>
      <c r="C19" s="69" t="s">
        <v>8</v>
      </c>
      <c r="D19" s="20" t="s">
        <v>193</v>
      </c>
      <c r="E19" s="109" t="s">
        <v>112</v>
      </c>
      <c r="F19" s="93">
        <f>F20/2</f>
        <v>9.4999999999999998E-3</v>
      </c>
      <c r="H19" s="21"/>
      <c r="K19" s="53"/>
    </row>
    <row r="20" spans="1:11" ht="21.75" customHeight="1">
      <c r="A20" s="72"/>
      <c r="B20" s="512"/>
      <c r="C20" s="69" t="s">
        <v>28</v>
      </c>
      <c r="D20" s="20" t="s">
        <v>194</v>
      </c>
      <c r="E20" s="109" t="s">
        <v>112</v>
      </c>
      <c r="F20" s="93">
        <v>1.9E-2</v>
      </c>
      <c r="H20" s="21"/>
      <c r="K20" s="53"/>
    </row>
    <row r="21" spans="1:11" ht="21.75" customHeight="1">
      <c r="A21" s="72"/>
      <c r="B21" s="512"/>
      <c r="C21" s="69" t="s">
        <v>31</v>
      </c>
      <c r="D21" s="20" t="s">
        <v>195</v>
      </c>
      <c r="E21" s="109" t="s">
        <v>112</v>
      </c>
      <c r="F21" s="93">
        <f>F20*2</f>
        <v>3.7999999999999999E-2</v>
      </c>
      <c r="H21" s="21"/>
      <c r="K21" s="53"/>
    </row>
    <row r="22" spans="1:11" ht="21.75" customHeight="1">
      <c r="A22" s="73"/>
      <c r="B22" s="513"/>
      <c r="C22" s="70" t="s">
        <v>33</v>
      </c>
      <c r="D22" s="22" t="s">
        <v>196</v>
      </c>
      <c r="E22" s="124" t="s">
        <v>112</v>
      </c>
      <c r="F22" s="24">
        <f>F20*3</f>
        <v>5.6999999999999995E-2</v>
      </c>
      <c r="G22" s="25"/>
      <c r="H22" s="26">
        <f>IF(I18=1,F18,(IF(I18=2,F19,IF(I18=3,F20,IF(I18=4,F21,IF(I18=5,F22,""))))))</f>
        <v>0</v>
      </c>
      <c r="I22" s="88" t="str">
        <f>IF(I18=1,E18,(IF(I18=2,E19,IF(I18=3,E20,IF(I18=4,E21,IF(I18=5,E22,""))))))</f>
        <v>-</v>
      </c>
      <c r="J22" s="7" t="s">
        <v>35</v>
      </c>
      <c r="K22" s="54"/>
    </row>
    <row r="23" spans="1:11" ht="34.5" customHeight="1">
      <c r="A23" s="228">
        <v>23</v>
      </c>
      <c r="B23" s="235" t="s">
        <v>197</v>
      </c>
      <c r="C23" s="65">
        <v>0</v>
      </c>
      <c r="D23" s="59" t="s">
        <v>198</v>
      </c>
      <c r="E23" s="156" t="s">
        <v>112</v>
      </c>
      <c r="F23" s="34">
        <v>0</v>
      </c>
      <c r="G23" s="29"/>
      <c r="H23" s="30"/>
      <c r="I23" s="7">
        <v>1</v>
      </c>
      <c r="J23" s="87" t="s">
        <v>23</v>
      </c>
      <c r="K23" s="502" t="s">
        <v>199</v>
      </c>
    </row>
    <row r="24" spans="1:11" ht="28.5">
      <c r="A24" s="223"/>
      <c r="B24" s="236" t="s">
        <v>200</v>
      </c>
      <c r="C24" s="66" t="s">
        <v>8</v>
      </c>
      <c r="D24" s="60" t="s">
        <v>201</v>
      </c>
      <c r="E24" s="157" t="s">
        <v>112</v>
      </c>
      <c r="F24" s="35">
        <f>1.5%/0.15*0.2</f>
        <v>2.0000000000000004E-2</v>
      </c>
      <c r="G24" s="6"/>
      <c r="H24" s="11"/>
      <c r="I24" s="212">
        <f>IF('3D_Menüzusammensetzung'!I13=1,1,1+((0.56*IF('3D_Menüzusammensetzung'!I13=2,0.2,IF('3D_Menüzusammensetzung'!I13=3,0.5,IF('3D_Menüzusammensetzung'!I13=4,0.8,IF('3D_Menüzusammensetzung'!I13=5,1.1,0)))))+0.56)/5.6)</f>
        <v>1</v>
      </c>
      <c r="J24" s="7" t="s">
        <v>202</v>
      </c>
      <c r="K24" s="497"/>
    </row>
    <row r="25" spans="1:11" ht="21.75" customHeight="1">
      <c r="A25" s="223"/>
      <c r="B25" s="505" t="s">
        <v>203</v>
      </c>
      <c r="C25" s="66" t="s">
        <v>28</v>
      </c>
      <c r="D25" s="60" t="s">
        <v>204</v>
      </c>
      <c r="E25" s="157" t="s">
        <v>112</v>
      </c>
      <c r="F25" s="35">
        <f>F24/0.2*0.5</f>
        <v>5.000000000000001E-2</v>
      </c>
      <c r="G25" s="6"/>
      <c r="H25" s="11"/>
      <c r="I25" s="212">
        <f>1+(((IF('3D_Menüzusammensetzung'!I3=2,5,IF('3D_Menüzusammensetzung'!I3=3,15,IF('3D_Menüzusammensetzung'!I3=4,20,IF('3D_Menüzusammensetzung'!I3=5,25,1)))))*0.0022)-0.0022)</f>
        <v>1</v>
      </c>
      <c r="J25" s="7" t="s">
        <v>205</v>
      </c>
      <c r="K25" s="497"/>
    </row>
    <row r="26" spans="1:11" ht="21.75" customHeight="1">
      <c r="A26" s="223"/>
      <c r="B26" s="506"/>
      <c r="C26" s="66" t="s">
        <v>31</v>
      </c>
      <c r="D26" s="60" t="s">
        <v>206</v>
      </c>
      <c r="E26" s="157" t="s">
        <v>112</v>
      </c>
      <c r="F26" s="35">
        <f>F25/0.5*0.75</f>
        <v>7.5000000000000011E-2</v>
      </c>
      <c r="G26" s="6"/>
      <c r="H26" s="11"/>
      <c r="I26" s="212">
        <f>IF('3D_Menüzusammensetzung'!I8=1,1,1+IF('3D_Menüzusammensetzung'!I8=2,5,IF('3D_Menüzusammensetzung'!I8=3,11,IF('3D_Menüzusammensetzung'!I8=4,2,IF('3D_Menüzusammensetzung'!I8=5,25,0))))/8*0.022)</f>
        <v>1</v>
      </c>
      <c r="J26" s="7" t="s">
        <v>207</v>
      </c>
      <c r="K26" s="497"/>
    </row>
    <row r="27" spans="1:11" ht="21.75" customHeight="1">
      <c r="A27" s="225"/>
      <c r="B27" s="507"/>
      <c r="C27" s="67" t="s">
        <v>33</v>
      </c>
      <c r="D27" s="61" t="s">
        <v>208</v>
      </c>
      <c r="E27" s="158" t="s">
        <v>112</v>
      </c>
      <c r="F27" s="36">
        <f>F24*5</f>
        <v>0.10000000000000002</v>
      </c>
      <c r="G27" s="15"/>
      <c r="H27" s="37">
        <f>IF(I23=1,F23,(IF(I23=2,F24,IF(I23=3,F25,IF(I23=4,F26,IF(I23=5,F27,""))))))*I24*I25*I26</f>
        <v>0</v>
      </c>
      <c r="I27" s="88" t="str">
        <f>IF(I23=1,E23,(IF(I23=2,E24,IF(I23=3,E25,IF(I23=4,E26,IF(I23=5,E27,""))))))</f>
        <v>-</v>
      </c>
      <c r="J27" s="7" t="s">
        <v>35</v>
      </c>
      <c r="K27" s="498"/>
    </row>
    <row r="28" spans="1:11" ht="31.5" customHeight="1">
      <c r="A28" s="72">
        <v>24</v>
      </c>
      <c r="B28" s="386" t="s">
        <v>462</v>
      </c>
      <c r="C28" s="71">
        <v>0</v>
      </c>
      <c r="D28" s="20" t="s">
        <v>209</v>
      </c>
      <c r="E28" s="159" t="s">
        <v>112</v>
      </c>
      <c r="F28" s="93">
        <v>0</v>
      </c>
      <c r="H28" s="19"/>
      <c r="I28" s="7">
        <v>1</v>
      </c>
      <c r="J28" s="87" t="s">
        <v>23</v>
      </c>
      <c r="K28" s="499"/>
    </row>
    <row r="29" spans="1:11" ht="28.5">
      <c r="A29" s="72"/>
      <c r="B29" s="508" t="s">
        <v>210</v>
      </c>
      <c r="C29" s="101" t="s">
        <v>8</v>
      </c>
      <c r="D29" s="237" t="s">
        <v>211</v>
      </c>
      <c r="E29" s="159" t="s">
        <v>112</v>
      </c>
      <c r="F29" s="93">
        <f>F30/2</f>
        <v>1.4E-2</v>
      </c>
      <c r="H29" s="21"/>
      <c r="I29" s="7">
        <f>(49-('3B_Fleisch'!E3*(IF('3B_Fleisch'!J3=1,0,IF('3B_Fleisch'!J3=2,0.25,IF('3B_Fleisch'!J3=3,0.5,IF('3B_Fleisch'!J3=4,0.8,IF('3B_Fleisch'!J3=5,1))))))+'3B_Fleisch'!E8*(IF('3B_Fleisch'!J8=1,0,IF('3B_Fleisch'!J8=2,0.25,IF('3B_Fleisch'!J8=3,0.5,IF('3B_Fleisch'!J8=4,0.8,IF('3B_Fleisch'!J8=5,1))))))+'3B_Fleisch'!E13*(IF('3B_Fleisch'!J13=1,0,IF('3B_Fleisch'!J13=2,0.25,IF('3B_Fleisch'!J13=3,0.5,IF('3B_Fleisch'!J13=4,0.8,IF('3B_Fleisch'!J13=5,1))))))+'3B_Fleisch'!E18*(IF('3B_Fleisch'!J18=1,0,IF('3B_Fleisch'!J18=2,0.25,IF('3B_Fleisch'!J18=3,0.5,IF('3B_Fleisch'!J18=4,0.8,IF('3B_Fleisch'!J18=5,1))))))+'3B_Fleisch'!E23*(IF('3B_Fleisch'!J23=1,0,IF('3B_Fleisch'!J23=2,0.25,IF('3B_Fleisch'!J23=3,0.5,IF('3B_Fleisch'!J23=4,0.8,IF('3B_Fleisch'!J23=5,1))))))+'3B_Fleisch'!E38*(IF('3B_Fleisch'!J38=1,0,IF('3B_Fleisch'!J38=2,0.25,IF('3B_Fleisch'!J38=3,0.5,IF('3B_Fleisch'!J38=4,0.8,IF('3B_Fleisch'!J38=5,1))))))+'3B_Fleisch'!E43*(IF('3B_Fleisch'!J43=1,0,IF('3B_Fleisch'!J43=2,0.25,IF('3B_Fleisch'!J43=3,0.5,IF('3B_Fleisch'!J43=4,0.8,IF('3B_Fleisch'!J43=5,1))))))+'3B_Fleisch'!E48*(IF('3B_Fleisch'!J48=1,0,IF('3B_Fleisch'!J48=2,0.25,IF('3B_Fleisch'!J48=3,0.5,IF('3B_Fleisch'!J48=4,0.8,IF('3B_Fleisch'!J48=5,1))))))+'3B_Fleisch'!E53*(IF('3B_Fleisch'!J53=1,0,IF('3B_Fleisch'!J53=2,0.25,IF('3B_Fleisch'!J53=3,0.5,IF('3B_Fleisch'!J53=4,0.8,IF('3B_Fleisch'!J53=5,1))))))))/49</f>
        <v>1</v>
      </c>
      <c r="J29" s="7" t="s">
        <v>212</v>
      </c>
      <c r="K29" s="500"/>
    </row>
    <row r="30" spans="1:11" ht="31.5" customHeight="1">
      <c r="A30" s="72"/>
      <c r="B30" s="509"/>
      <c r="C30" s="69" t="s">
        <v>28</v>
      </c>
      <c r="D30" s="105" t="s">
        <v>213</v>
      </c>
      <c r="E30" s="159" t="s">
        <v>112</v>
      </c>
      <c r="F30" s="93">
        <f>F32/2</f>
        <v>2.8000000000000001E-2</v>
      </c>
      <c r="H30" s="21"/>
      <c r="I30" s="7">
        <f>(IF(OR('3E_Vegan_Vegetarisch'!J3=2,'3E_Vegan_Vegetarisch'!J8=2,'3E_Vegan_Vegetarisch'!J13=2,'3E_Vegan_Vegetarisch'!J18=2),0.75,IF(OR('3E_Vegan_Vegetarisch'!J3=3,'3E_Vegan_Vegetarisch'!J8=3,'3E_Vegan_Vegetarisch'!J13=3,'3E_Vegan_Vegetarisch'!J18=3),0.5,IF(OR('3E_Vegan_Vegetarisch'!J3=4,'3E_Vegan_Vegetarisch'!J8=4,'3E_Vegan_Vegetarisch'!J13=4,'3E_Vegan_Vegetarisch'!J18=4),0.25,IF(OR('3E_Vegan_Vegetarisch'!J3=5,'3E_Vegan_Vegetarisch'!J8=5,'3E_Vegan_Vegetarisch'!J13=5,'3E_Vegan_Vegetarisch'!J18=5),0,1)))))</f>
        <v>1</v>
      </c>
      <c r="J30" s="7" t="s">
        <v>214</v>
      </c>
      <c r="K30" s="500"/>
    </row>
    <row r="31" spans="1:11" ht="31.5" customHeight="1">
      <c r="A31" s="72"/>
      <c r="B31" s="510" t="s">
        <v>215</v>
      </c>
      <c r="C31" s="69" t="s">
        <v>31</v>
      </c>
      <c r="D31" s="238" t="s">
        <v>216</v>
      </c>
      <c r="E31" s="159" t="s">
        <v>112</v>
      </c>
      <c r="F31" s="93">
        <f>F29*3</f>
        <v>4.2000000000000003E-2</v>
      </c>
      <c r="H31" s="21"/>
      <c r="K31" s="500"/>
    </row>
    <row r="32" spans="1:11" ht="31.5" customHeight="1">
      <c r="A32" s="97"/>
      <c r="B32" s="511"/>
      <c r="C32" s="70" t="s">
        <v>33</v>
      </c>
      <c r="D32" s="106" t="s">
        <v>217</v>
      </c>
      <c r="E32" s="160" t="s">
        <v>112</v>
      </c>
      <c r="F32" s="40">
        <v>5.6000000000000001E-2</v>
      </c>
      <c r="G32" s="25"/>
      <c r="H32" s="41">
        <f>IF(I28=1,F28,(IF(I28=2,F29,IF(I28=3,F30,IF(I28=4,F31,IF(I28=5,F32,""))))))*I29</f>
        <v>0</v>
      </c>
      <c r="I32" s="88" t="str">
        <f>IF(I28=1,E28,(IF(I28=2,E29,IF(I28=3,E30,IF(I28=4,E31,IF(I28=5,E32,""))))))</f>
        <v>-</v>
      </c>
      <c r="J32" s="7" t="s">
        <v>35</v>
      </c>
      <c r="K32" s="501"/>
    </row>
    <row r="33" spans="8:8" ht="21.75" customHeight="1">
      <c r="H33" s="78">
        <f>SUM(H22,H7,H12,H17,H27,H32)</f>
        <v>0</v>
      </c>
    </row>
  </sheetData>
  <mergeCells count="11">
    <mergeCell ref="K28:K32"/>
    <mergeCell ref="K13:K17"/>
    <mergeCell ref="K23:K27"/>
    <mergeCell ref="B5:B7"/>
    <mergeCell ref="B25:B27"/>
    <mergeCell ref="B29:B30"/>
    <mergeCell ref="B31:B32"/>
    <mergeCell ref="B19:B22"/>
    <mergeCell ref="B9:B10"/>
    <mergeCell ref="B15:B17"/>
    <mergeCell ref="K3:K7"/>
  </mergeCells>
  <conditionalFormatting sqref="A3:A7">
    <cfRule type="expression" dxfId="229" priority="3">
      <formula>$I$24=3</formula>
    </cfRule>
  </conditionalFormatting>
  <conditionalFormatting sqref="A23:H24 A25:A27 C25:H27">
    <cfRule type="expression" dxfId="228" priority="12">
      <formula>$I$24=2</formula>
    </cfRule>
  </conditionalFormatting>
  <conditionalFormatting sqref="B3:B5">
    <cfRule type="expression" dxfId="227" priority="4">
      <formula>$I$24=3</formula>
    </cfRule>
  </conditionalFormatting>
  <conditionalFormatting sqref="B14:B15">
    <cfRule type="expression" dxfId="226" priority="7">
      <formula>$I$24=3</formula>
    </cfRule>
  </conditionalFormatting>
  <conditionalFormatting sqref="C20:H22 C3:H7 A8:H8 A9:D9 A10 C10:D10 A11:D12 A13:H13 C14:H14 A14:A17 F15:H16 C15:E17 F17:G17 A18:H19 A20:A22">
    <cfRule type="expression" dxfId="225" priority="13">
      <formula>$I$24=3</formula>
    </cfRule>
  </conditionalFormatting>
  <conditionalFormatting sqref="E9:H12">
    <cfRule type="expression" dxfId="224" priority="2">
      <formula>$I$24=3</formula>
    </cfRule>
  </conditionalFormatting>
  <conditionalFormatting sqref="H7">
    <cfRule type="expression" dxfId="223" priority="18" stopIfTrue="1">
      <formula>AND($I$14=3,$I$3&gt;1)</formula>
    </cfRule>
  </conditionalFormatting>
  <conditionalFormatting sqref="H12">
    <cfRule type="expression" dxfId="222" priority="17" stopIfTrue="1">
      <formula>AND($I$14=3,$I$8&gt;1)</formula>
    </cfRule>
  </conditionalFormatting>
  <conditionalFormatting sqref="H22">
    <cfRule type="expression" dxfId="221" priority="11" stopIfTrue="1">
      <formula>AND($I$14=3,$I$18&gt;1)</formula>
    </cfRule>
  </conditionalFormatting>
  <pageMargins left="0.7" right="0.7" top="0.78740157499999996" bottom="0.78740157499999996" header="0.3" footer="0.3"/>
  <pageSetup paperSize="9" scale="57" fitToHeight="2" orientation="landscape" horizontalDpi="300"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Group Box 1">
              <controlPr defaultSize="0" autoFill="0" autoPict="0">
                <anchor moveWithCells="1">
                  <from>
                    <xdr:col>6</xdr:col>
                    <xdr:colOff>0</xdr:colOff>
                    <xdr:row>2</xdr:row>
                    <xdr:rowOff>9525</xdr:rowOff>
                  </from>
                  <to>
                    <xdr:col>7</xdr:col>
                    <xdr:colOff>38100</xdr:colOff>
                    <xdr:row>7</xdr:row>
                    <xdr:rowOff>0</xdr:rowOff>
                  </to>
                </anchor>
              </controlPr>
            </control>
          </mc:Choice>
        </mc:AlternateContent>
        <mc:AlternateContent xmlns:mc="http://schemas.openxmlformats.org/markup-compatibility/2006">
          <mc:Choice Requires="x14">
            <control shapeId="19463" r:id="rId5" name="Group Box 7">
              <controlPr defaultSize="0" autoFill="0" autoPict="0">
                <anchor moveWithCells="1">
                  <from>
                    <xdr:col>6</xdr:col>
                    <xdr:colOff>0</xdr:colOff>
                    <xdr:row>7</xdr:row>
                    <xdr:rowOff>9525</xdr:rowOff>
                  </from>
                  <to>
                    <xdr:col>7</xdr:col>
                    <xdr:colOff>38100</xdr:colOff>
                    <xdr:row>12</xdr:row>
                    <xdr:rowOff>9525</xdr:rowOff>
                  </to>
                </anchor>
              </controlPr>
            </control>
          </mc:Choice>
        </mc:AlternateContent>
        <mc:AlternateContent xmlns:mc="http://schemas.openxmlformats.org/markup-compatibility/2006">
          <mc:Choice Requires="x14">
            <control shapeId="19469" r:id="rId6" name="Group Box 13">
              <controlPr defaultSize="0" autoFill="0" autoPict="0">
                <anchor moveWithCells="1">
                  <from>
                    <xdr:col>6</xdr:col>
                    <xdr:colOff>0</xdr:colOff>
                    <xdr:row>12</xdr:row>
                    <xdr:rowOff>0</xdr:rowOff>
                  </from>
                  <to>
                    <xdr:col>7</xdr:col>
                    <xdr:colOff>38100</xdr:colOff>
                    <xdr:row>17</xdr:row>
                    <xdr:rowOff>0</xdr:rowOff>
                  </to>
                </anchor>
              </controlPr>
            </control>
          </mc:Choice>
        </mc:AlternateContent>
        <mc:AlternateContent xmlns:mc="http://schemas.openxmlformats.org/markup-compatibility/2006">
          <mc:Choice Requires="x14">
            <control shapeId="19470" r:id="rId7" name="Option Button 14">
              <controlPr defaultSize="0" autoFill="0" autoLine="0" autoPict="0">
                <anchor moveWithCells="1">
                  <from>
                    <xdr:col>6</xdr:col>
                    <xdr:colOff>152400</xdr:colOff>
                    <xdr:row>12</xdr:row>
                    <xdr:rowOff>9525</xdr:rowOff>
                  </from>
                  <to>
                    <xdr:col>6</xdr:col>
                    <xdr:colOff>447675</xdr:colOff>
                    <xdr:row>12</xdr:row>
                    <xdr:rowOff>295275</xdr:rowOff>
                  </to>
                </anchor>
              </controlPr>
            </control>
          </mc:Choice>
        </mc:AlternateContent>
        <mc:AlternateContent xmlns:mc="http://schemas.openxmlformats.org/markup-compatibility/2006">
          <mc:Choice Requires="x14">
            <control shapeId="19471" r:id="rId8" name="Option Button 15">
              <controlPr defaultSize="0" autoFill="0" autoLine="0" autoPict="0">
                <anchor moveWithCells="1">
                  <from>
                    <xdr:col>6</xdr:col>
                    <xdr:colOff>152400</xdr:colOff>
                    <xdr:row>13</xdr:row>
                    <xdr:rowOff>9525</xdr:rowOff>
                  </from>
                  <to>
                    <xdr:col>7</xdr:col>
                    <xdr:colOff>0</xdr:colOff>
                    <xdr:row>14</xdr:row>
                    <xdr:rowOff>9525</xdr:rowOff>
                  </to>
                </anchor>
              </controlPr>
            </control>
          </mc:Choice>
        </mc:AlternateContent>
        <mc:AlternateContent xmlns:mc="http://schemas.openxmlformats.org/markup-compatibility/2006">
          <mc:Choice Requires="x14">
            <control shapeId="19472" r:id="rId9" name="Option Button 16">
              <controlPr defaultSize="0" autoFill="0" autoLine="0" autoPict="0">
                <anchor moveWithCells="1">
                  <from>
                    <xdr:col>6</xdr:col>
                    <xdr:colOff>152400</xdr:colOff>
                    <xdr:row>14</xdr:row>
                    <xdr:rowOff>28575</xdr:rowOff>
                  </from>
                  <to>
                    <xdr:col>6</xdr:col>
                    <xdr:colOff>447675</xdr:colOff>
                    <xdr:row>14</xdr:row>
                    <xdr:rowOff>257175</xdr:rowOff>
                  </to>
                </anchor>
              </controlPr>
            </control>
          </mc:Choice>
        </mc:AlternateContent>
        <mc:AlternateContent xmlns:mc="http://schemas.openxmlformats.org/markup-compatibility/2006">
          <mc:Choice Requires="x14">
            <control shapeId="19473" r:id="rId10" name="Option Button 17">
              <controlPr defaultSize="0" autoFill="0" autoLine="0" autoPict="0">
                <anchor moveWithCells="1">
                  <from>
                    <xdr:col>6</xdr:col>
                    <xdr:colOff>152400</xdr:colOff>
                    <xdr:row>15</xdr:row>
                    <xdr:rowOff>38100</xdr:rowOff>
                  </from>
                  <to>
                    <xdr:col>6</xdr:col>
                    <xdr:colOff>447675</xdr:colOff>
                    <xdr:row>15</xdr:row>
                    <xdr:rowOff>266700</xdr:rowOff>
                  </to>
                </anchor>
              </controlPr>
            </control>
          </mc:Choice>
        </mc:AlternateContent>
        <mc:AlternateContent xmlns:mc="http://schemas.openxmlformats.org/markup-compatibility/2006">
          <mc:Choice Requires="x14">
            <control shapeId="19474" r:id="rId11" name="Option Button 18">
              <controlPr defaultSize="0" autoFill="0" autoLine="0" autoPict="0">
                <anchor moveWithCells="1">
                  <from>
                    <xdr:col>6</xdr:col>
                    <xdr:colOff>152400</xdr:colOff>
                    <xdr:row>16</xdr:row>
                    <xdr:rowOff>28575</xdr:rowOff>
                  </from>
                  <to>
                    <xdr:col>6</xdr:col>
                    <xdr:colOff>409575</xdr:colOff>
                    <xdr:row>16</xdr:row>
                    <xdr:rowOff>257175</xdr:rowOff>
                  </to>
                </anchor>
              </controlPr>
            </control>
          </mc:Choice>
        </mc:AlternateContent>
        <mc:AlternateContent xmlns:mc="http://schemas.openxmlformats.org/markup-compatibility/2006">
          <mc:Choice Requires="x14">
            <control shapeId="19475" r:id="rId12" name="Group Box 19">
              <controlPr defaultSize="0" autoFill="0" autoPict="0">
                <anchor moveWithCells="1">
                  <from>
                    <xdr:col>6</xdr:col>
                    <xdr:colOff>0</xdr:colOff>
                    <xdr:row>17</xdr:row>
                    <xdr:rowOff>0</xdr:rowOff>
                  </from>
                  <to>
                    <xdr:col>7</xdr:col>
                    <xdr:colOff>38100</xdr:colOff>
                    <xdr:row>22</xdr:row>
                    <xdr:rowOff>0</xdr:rowOff>
                  </to>
                </anchor>
              </controlPr>
            </control>
          </mc:Choice>
        </mc:AlternateContent>
        <mc:AlternateContent xmlns:mc="http://schemas.openxmlformats.org/markup-compatibility/2006">
          <mc:Choice Requires="x14">
            <control shapeId="19476" r:id="rId13" name="Option Button 20">
              <controlPr defaultSize="0" autoFill="0" autoLine="0" autoPict="0">
                <anchor moveWithCells="1">
                  <from>
                    <xdr:col>6</xdr:col>
                    <xdr:colOff>152400</xdr:colOff>
                    <xdr:row>17</xdr:row>
                    <xdr:rowOff>76200</xdr:rowOff>
                  </from>
                  <to>
                    <xdr:col>6</xdr:col>
                    <xdr:colOff>447675</xdr:colOff>
                    <xdr:row>17</xdr:row>
                    <xdr:rowOff>333375</xdr:rowOff>
                  </to>
                </anchor>
              </controlPr>
            </control>
          </mc:Choice>
        </mc:AlternateContent>
        <mc:AlternateContent xmlns:mc="http://schemas.openxmlformats.org/markup-compatibility/2006">
          <mc:Choice Requires="x14">
            <control shapeId="19477" r:id="rId14" name="Option Button 21">
              <controlPr defaultSize="0" autoFill="0" autoLine="0" autoPict="0">
                <anchor moveWithCells="1">
                  <from>
                    <xdr:col>6</xdr:col>
                    <xdr:colOff>152400</xdr:colOff>
                    <xdr:row>18</xdr:row>
                    <xdr:rowOff>0</xdr:rowOff>
                  </from>
                  <to>
                    <xdr:col>6</xdr:col>
                    <xdr:colOff>428625</xdr:colOff>
                    <xdr:row>19</xdr:row>
                    <xdr:rowOff>0</xdr:rowOff>
                  </to>
                </anchor>
              </controlPr>
            </control>
          </mc:Choice>
        </mc:AlternateContent>
        <mc:AlternateContent xmlns:mc="http://schemas.openxmlformats.org/markup-compatibility/2006">
          <mc:Choice Requires="x14">
            <control shapeId="19478" r:id="rId15" name="Option Button 22">
              <controlPr defaultSize="0" autoFill="0" autoLine="0" autoPict="0">
                <anchor moveWithCells="1">
                  <from>
                    <xdr:col>6</xdr:col>
                    <xdr:colOff>152400</xdr:colOff>
                    <xdr:row>19</xdr:row>
                    <xdr:rowOff>28575</xdr:rowOff>
                  </from>
                  <to>
                    <xdr:col>6</xdr:col>
                    <xdr:colOff>447675</xdr:colOff>
                    <xdr:row>19</xdr:row>
                    <xdr:rowOff>266700</xdr:rowOff>
                  </to>
                </anchor>
              </controlPr>
            </control>
          </mc:Choice>
        </mc:AlternateContent>
        <mc:AlternateContent xmlns:mc="http://schemas.openxmlformats.org/markup-compatibility/2006">
          <mc:Choice Requires="x14">
            <control shapeId="19479" r:id="rId16" name="Option Button 23">
              <controlPr defaultSize="0" autoFill="0" autoLine="0" autoPict="0">
                <anchor moveWithCells="1">
                  <from>
                    <xdr:col>6</xdr:col>
                    <xdr:colOff>152400</xdr:colOff>
                    <xdr:row>20</xdr:row>
                    <xdr:rowOff>38100</xdr:rowOff>
                  </from>
                  <to>
                    <xdr:col>6</xdr:col>
                    <xdr:colOff>447675</xdr:colOff>
                    <xdr:row>20</xdr:row>
                    <xdr:rowOff>257175</xdr:rowOff>
                  </to>
                </anchor>
              </controlPr>
            </control>
          </mc:Choice>
        </mc:AlternateContent>
        <mc:AlternateContent xmlns:mc="http://schemas.openxmlformats.org/markup-compatibility/2006">
          <mc:Choice Requires="x14">
            <control shapeId="19480" r:id="rId17" name="Option Button 24">
              <controlPr defaultSize="0" autoFill="0" autoLine="0" autoPict="0">
                <anchor moveWithCells="1">
                  <from>
                    <xdr:col>6</xdr:col>
                    <xdr:colOff>152400</xdr:colOff>
                    <xdr:row>21</xdr:row>
                    <xdr:rowOff>28575</xdr:rowOff>
                  </from>
                  <to>
                    <xdr:col>6</xdr:col>
                    <xdr:colOff>447675</xdr:colOff>
                    <xdr:row>21</xdr:row>
                    <xdr:rowOff>257175</xdr:rowOff>
                  </to>
                </anchor>
              </controlPr>
            </control>
          </mc:Choice>
        </mc:AlternateContent>
        <mc:AlternateContent xmlns:mc="http://schemas.openxmlformats.org/markup-compatibility/2006">
          <mc:Choice Requires="x14">
            <control shapeId="19481" r:id="rId18" name="Group Box 25">
              <controlPr defaultSize="0" autoFill="0" autoPict="0">
                <anchor moveWithCells="1">
                  <from>
                    <xdr:col>6</xdr:col>
                    <xdr:colOff>0</xdr:colOff>
                    <xdr:row>22</xdr:row>
                    <xdr:rowOff>0</xdr:rowOff>
                  </from>
                  <to>
                    <xdr:col>7</xdr:col>
                    <xdr:colOff>28575</xdr:colOff>
                    <xdr:row>27</xdr:row>
                    <xdr:rowOff>9525</xdr:rowOff>
                  </to>
                </anchor>
              </controlPr>
            </control>
          </mc:Choice>
        </mc:AlternateContent>
        <mc:AlternateContent xmlns:mc="http://schemas.openxmlformats.org/markup-compatibility/2006">
          <mc:Choice Requires="x14">
            <control shapeId="19487" r:id="rId19" name="Group Box 31">
              <controlPr defaultSize="0" autoFill="0" autoPict="0">
                <anchor moveWithCells="1">
                  <from>
                    <xdr:col>6</xdr:col>
                    <xdr:colOff>0</xdr:colOff>
                    <xdr:row>26</xdr:row>
                    <xdr:rowOff>276225</xdr:rowOff>
                  </from>
                  <to>
                    <xdr:col>7</xdr:col>
                    <xdr:colOff>28575</xdr:colOff>
                    <xdr:row>32</xdr:row>
                    <xdr:rowOff>28575</xdr:rowOff>
                  </to>
                </anchor>
              </controlPr>
            </control>
          </mc:Choice>
        </mc:AlternateContent>
        <mc:AlternateContent xmlns:mc="http://schemas.openxmlformats.org/markup-compatibility/2006">
          <mc:Choice Requires="x14">
            <control shapeId="19488" r:id="rId20" name="Option Button 32">
              <controlPr defaultSize="0" autoFill="0" autoLine="0" autoPict="0">
                <anchor moveWithCells="1">
                  <from>
                    <xdr:col>6</xdr:col>
                    <xdr:colOff>142875</xdr:colOff>
                    <xdr:row>27</xdr:row>
                    <xdr:rowOff>28575</xdr:rowOff>
                  </from>
                  <to>
                    <xdr:col>6</xdr:col>
                    <xdr:colOff>447675</xdr:colOff>
                    <xdr:row>27</xdr:row>
                    <xdr:rowOff>266700</xdr:rowOff>
                  </to>
                </anchor>
              </controlPr>
            </control>
          </mc:Choice>
        </mc:AlternateContent>
        <mc:AlternateContent xmlns:mc="http://schemas.openxmlformats.org/markup-compatibility/2006">
          <mc:Choice Requires="x14">
            <control shapeId="19489" r:id="rId21" name="Option Button 33">
              <controlPr defaultSize="0" autoFill="0" autoLine="0" autoPict="0">
                <anchor moveWithCells="1">
                  <from>
                    <xdr:col>6</xdr:col>
                    <xdr:colOff>142875</xdr:colOff>
                    <xdr:row>28</xdr:row>
                    <xdr:rowOff>28575</xdr:rowOff>
                  </from>
                  <to>
                    <xdr:col>6</xdr:col>
                    <xdr:colOff>447675</xdr:colOff>
                    <xdr:row>28</xdr:row>
                    <xdr:rowOff>257175</xdr:rowOff>
                  </to>
                </anchor>
              </controlPr>
            </control>
          </mc:Choice>
        </mc:AlternateContent>
        <mc:AlternateContent xmlns:mc="http://schemas.openxmlformats.org/markup-compatibility/2006">
          <mc:Choice Requires="x14">
            <control shapeId="19490" r:id="rId22" name="Option Button 34">
              <controlPr defaultSize="0" autoFill="0" autoLine="0" autoPict="0">
                <anchor moveWithCells="1">
                  <from>
                    <xdr:col>6</xdr:col>
                    <xdr:colOff>142875</xdr:colOff>
                    <xdr:row>29</xdr:row>
                    <xdr:rowOff>9525</xdr:rowOff>
                  </from>
                  <to>
                    <xdr:col>6</xdr:col>
                    <xdr:colOff>447675</xdr:colOff>
                    <xdr:row>29</xdr:row>
                    <xdr:rowOff>276225</xdr:rowOff>
                  </to>
                </anchor>
              </controlPr>
            </control>
          </mc:Choice>
        </mc:AlternateContent>
        <mc:AlternateContent xmlns:mc="http://schemas.openxmlformats.org/markup-compatibility/2006">
          <mc:Choice Requires="x14">
            <control shapeId="19491" r:id="rId23" name="Option Button 35">
              <controlPr defaultSize="0" autoFill="0" autoLine="0" autoPict="0">
                <anchor moveWithCells="1">
                  <from>
                    <xdr:col>6</xdr:col>
                    <xdr:colOff>142875</xdr:colOff>
                    <xdr:row>30</xdr:row>
                    <xdr:rowOff>38100</xdr:rowOff>
                  </from>
                  <to>
                    <xdr:col>6</xdr:col>
                    <xdr:colOff>447675</xdr:colOff>
                    <xdr:row>30</xdr:row>
                    <xdr:rowOff>257175</xdr:rowOff>
                  </to>
                </anchor>
              </controlPr>
            </control>
          </mc:Choice>
        </mc:AlternateContent>
        <mc:AlternateContent xmlns:mc="http://schemas.openxmlformats.org/markup-compatibility/2006">
          <mc:Choice Requires="x14">
            <control shapeId="19492" r:id="rId24" name="Option Button 36">
              <controlPr defaultSize="0" autoFill="0" autoLine="0" autoPict="0">
                <anchor moveWithCells="1">
                  <from>
                    <xdr:col>6</xdr:col>
                    <xdr:colOff>142875</xdr:colOff>
                    <xdr:row>31</xdr:row>
                    <xdr:rowOff>66675</xdr:rowOff>
                  </from>
                  <to>
                    <xdr:col>6</xdr:col>
                    <xdr:colOff>447675</xdr:colOff>
                    <xdr:row>31</xdr:row>
                    <xdr:rowOff>333375</xdr:rowOff>
                  </to>
                </anchor>
              </controlPr>
            </control>
          </mc:Choice>
        </mc:AlternateContent>
        <mc:AlternateContent xmlns:mc="http://schemas.openxmlformats.org/markup-compatibility/2006">
          <mc:Choice Requires="x14">
            <control shapeId="19498" r:id="rId25" name="Option Button 42">
              <controlPr defaultSize="0" autoFill="0" autoLine="0" autoPict="0">
                <anchor moveWithCells="1">
                  <from>
                    <xdr:col>6</xdr:col>
                    <xdr:colOff>152400</xdr:colOff>
                    <xdr:row>22</xdr:row>
                    <xdr:rowOff>85725</xdr:rowOff>
                  </from>
                  <to>
                    <xdr:col>6</xdr:col>
                    <xdr:colOff>371475</xdr:colOff>
                    <xdr:row>22</xdr:row>
                    <xdr:rowOff>314325</xdr:rowOff>
                  </to>
                </anchor>
              </controlPr>
            </control>
          </mc:Choice>
        </mc:AlternateContent>
        <mc:AlternateContent xmlns:mc="http://schemas.openxmlformats.org/markup-compatibility/2006">
          <mc:Choice Requires="x14">
            <control shapeId="19499" r:id="rId26" name="Option Button 43">
              <controlPr defaultSize="0" autoFill="0" autoLine="0" autoPict="0">
                <anchor moveWithCells="1">
                  <from>
                    <xdr:col>6</xdr:col>
                    <xdr:colOff>152400</xdr:colOff>
                    <xdr:row>23</xdr:row>
                    <xdr:rowOff>57150</xdr:rowOff>
                  </from>
                  <to>
                    <xdr:col>6</xdr:col>
                    <xdr:colOff>371475</xdr:colOff>
                    <xdr:row>23</xdr:row>
                    <xdr:rowOff>276225</xdr:rowOff>
                  </to>
                </anchor>
              </controlPr>
            </control>
          </mc:Choice>
        </mc:AlternateContent>
        <mc:AlternateContent xmlns:mc="http://schemas.openxmlformats.org/markup-compatibility/2006">
          <mc:Choice Requires="x14">
            <control shapeId="19500" r:id="rId27" name="Option Button 44">
              <controlPr defaultSize="0" autoFill="0" autoLine="0" autoPict="0">
                <anchor moveWithCells="1">
                  <from>
                    <xdr:col>6</xdr:col>
                    <xdr:colOff>152400</xdr:colOff>
                    <xdr:row>24</xdr:row>
                    <xdr:rowOff>19050</xdr:rowOff>
                  </from>
                  <to>
                    <xdr:col>6</xdr:col>
                    <xdr:colOff>371475</xdr:colOff>
                    <xdr:row>24</xdr:row>
                    <xdr:rowOff>247650</xdr:rowOff>
                  </to>
                </anchor>
              </controlPr>
            </control>
          </mc:Choice>
        </mc:AlternateContent>
        <mc:AlternateContent xmlns:mc="http://schemas.openxmlformats.org/markup-compatibility/2006">
          <mc:Choice Requires="x14">
            <control shapeId="19501" r:id="rId28" name="Option Button 45">
              <controlPr defaultSize="0" autoFill="0" autoLine="0" autoPict="0">
                <anchor moveWithCells="1">
                  <from>
                    <xdr:col>6</xdr:col>
                    <xdr:colOff>152400</xdr:colOff>
                    <xdr:row>25</xdr:row>
                    <xdr:rowOff>19050</xdr:rowOff>
                  </from>
                  <to>
                    <xdr:col>6</xdr:col>
                    <xdr:colOff>371475</xdr:colOff>
                    <xdr:row>25</xdr:row>
                    <xdr:rowOff>247650</xdr:rowOff>
                  </to>
                </anchor>
              </controlPr>
            </control>
          </mc:Choice>
        </mc:AlternateContent>
        <mc:AlternateContent xmlns:mc="http://schemas.openxmlformats.org/markup-compatibility/2006">
          <mc:Choice Requires="x14">
            <control shapeId="19502" r:id="rId29" name="Option Button 46">
              <controlPr defaultSize="0" autoFill="0" autoLine="0" autoPict="0">
                <anchor moveWithCells="1">
                  <from>
                    <xdr:col>6</xdr:col>
                    <xdr:colOff>152400</xdr:colOff>
                    <xdr:row>26</xdr:row>
                    <xdr:rowOff>9525</xdr:rowOff>
                  </from>
                  <to>
                    <xdr:col>6</xdr:col>
                    <xdr:colOff>371475</xdr:colOff>
                    <xdr:row>26</xdr:row>
                    <xdr:rowOff>238125</xdr:rowOff>
                  </to>
                </anchor>
              </controlPr>
            </control>
          </mc:Choice>
        </mc:AlternateContent>
        <mc:AlternateContent xmlns:mc="http://schemas.openxmlformats.org/markup-compatibility/2006">
          <mc:Choice Requires="x14">
            <control shapeId="19506" r:id="rId30" name="Option Button 50">
              <controlPr defaultSize="0" autoFill="0" autoLine="0" autoPict="0">
                <anchor moveWithCells="1">
                  <from>
                    <xdr:col>6</xdr:col>
                    <xdr:colOff>114300</xdr:colOff>
                    <xdr:row>7</xdr:row>
                    <xdr:rowOff>114300</xdr:rowOff>
                  </from>
                  <to>
                    <xdr:col>6</xdr:col>
                    <xdr:colOff>447675</xdr:colOff>
                    <xdr:row>7</xdr:row>
                    <xdr:rowOff>342900</xdr:rowOff>
                  </to>
                </anchor>
              </controlPr>
            </control>
          </mc:Choice>
        </mc:AlternateContent>
        <mc:AlternateContent xmlns:mc="http://schemas.openxmlformats.org/markup-compatibility/2006">
          <mc:Choice Requires="x14">
            <control shapeId="19512" r:id="rId31" name="Option Button 56">
              <controlPr defaultSize="0" autoFill="0" autoLine="0" autoPict="0">
                <anchor moveWithCells="1">
                  <from>
                    <xdr:col>6</xdr:col>
                    <xdr:colOff>114300</xdr:colOff>
                    <xdr:row>7</xdr:row>
                    <xdr:rowOff>390525</xdr:rowOff>
                  </from>
                  <to>
                    <xdr:col>6</xdr:col>
                    <xdr:colOff>457200</xdr:colOff>
                    <xdr:row>8</xdr:row>
                    <xdr:rowOff>200025</xdr:rowOff>
                  </to>
                </anchor>
              </controlPr>
            </control>
          </mc:Choice>
        </mc:AlternateContent>
        <mc:AlternateContent xmlns:mc="http://schemas.openxmlformats.org/markup-compatibility/2006">
          <mc:Choice Requires="x14">
            <control shapeId="19513" r:id="rId32" name="Option Button 57">
              <controlPr defaultSize="0" autoFill="0" autoLine="0" autoPict="0">
                <anchor moveWithCells="1">
                  <from>
                    <xdr:col>6</xdr:col>
                    <xdr:colOff>114300</xdr:colOff>
                    <xdr:row>8</xdr:row>
                    <xdr:rowOff>257175</xdr:rowOff>
                  </from>
                  <to>
                    <xdr:col>6</xdr:col>
                    <xdr:colOff>457200</xdr:colOff>
                    <xdr:row>9</xdr:row>
                    <xdr:rowOff>219075</xdr:rowOff>
                  </to>
                </anchor>
              </controlPr>
            </control>
          </mc:Choice>
        </mc:AlternateContent>
        <mc:AlternateContent xmlns:mc="http://schemas.openxmlformats.org/markup-compatibility/2006">
          <mc:Choice Requires="x14">
            <control shapeId="19515" r:id="rId33" name="Option Button 59">
              <controlPr defaultSize="0" autoFill="0" autoLine="0" autoPict="0">
                <anchor moveWithCells="1">
                  <from>
                    <xdr:col>6</xdr:col>
                    <xdr:colOff>114300</xdr:colOff>
                    <xdr:row>9</xdr:row>
                    <xdr:rowOff>266700</xdr:rowOff>
                  </from>
                  <to>
                    <xdr:col>6</xdr:col>
                    <xdr:colOff>457200</xdr:colOff>
                    <xdr:row>10</xdr:row>
                    <xdr:rowOff>228600</xdr:rowOff>
                  </to>
                </anchor>
              </controlPr>
            </control>
          </mc:Choice>
        </mc:AlternateContent>
        <mc:AlternateContent xmlns:mc="http://schemas.openxmlformats.org/markup-compatibility/2006">
          <mc:Choice Requires="x14">
            <control shapeId="19520" r:id="rId34" name="Option Button 64">
              <controlPr defaultSize="0" autoFill="0" autoLine="0" autoPict="0">
                <anchor moveWithCells="1">
                  <from>
                    <xdr:col>6</xdr:col>
                    <xdr:colOff>123825</xdr:colOff>
                    <xdr:row>11</xdr:row>
                    <xdr:rowOff>9525</xdr:rowOff>
                  </from>
                  <to>
                    <xdr:col>6</xdr:col>
                    <xdr:colOff>457200</xdr:colOff>
                    <xdr:row>11</xdr:row>
                    <xdr:rowOff>228600</xdr:rowOff>
                  </to>
                </anchor>
              </controlPr>
            </control>
          </mc:Choice>
        </mc:AlternateContent>
        <mc:AlternateContent xmlns:mc="http://schemas.openxmlformats.org/markup-compatibility/2006">
          <mc:Choice Requires="x14">
            <control shapeId="19522" r:id="rId35" name="Option Button 66">
              <controlPr defaultSize="0" autoFill="0" autoLine="0" autoPict="0">
                <anchor moveWithCells="1">
                  <from>
                    <xdr:col>6</xdr:col>
                    <xdr:colOff>123825</xdr:colOff>
                    <xdr:row>2</xdr:row>
                    <xdr:rowOff>95250</xdr:rowOff>
                  </from>
                  <to>
                    <xdr:col>6</xdr:col>
                    <xdr:colOff>457200</xdr:colOff>
                    <xdr:row>2</xdr:row>
                    <xdr:rowOff>314325</xdr:rowOff>
                  </to>
                </anchor>
              </controlPr>
            </control>
          </mc:Choice>
        </mc:AlternateContent>
        <mc:AlternateContent xmlns:mc="http://schemas.openxmlformats.org/markup-compatibility/2006">
          <mc:Choice Requires="x14">
            <control shapeId="19523" r:id="rId36" name="Option Button 67">
              <controlPr defaultSize="0" autoFill="0" autoLine="0" autoPict="0">
                <anchor moveWithCells="1">
                  <from>
                    <xdr:col>6</xdr:col>
                    <xdr:colOff>123825</xdr:colOff>
                    <xdr:row>3</xdr:row>
                    <xdr:rowOff>76200</xdr:rowOff>
                  </from>
                  <to>
                    <xdr:col>6</xdr:col>
                    <xdr:colOff>457200</xdr:colOff>
                    <xdr:row>4</xdr:row>
                    <xdr:rowOff>28575</xdr:rowOff>
                  </to>
                </anchor>
              </controlPr>
            </control>
          </mc:Choice>
        </mc:AlternateContent>
        <mc:AlternateContent xmlns:mc="http://schemas.openxmlformats.org/markup-compatibility/2006">
          <mc:Choice Requires="x14">
            <control shapeId="19524" r:id="rId37" name="Option Button 68">
              <controlPr defaultSize="0" autoFill="0" autoLine="0" autoPict="0">
                <anchor moveWithCells="1">
                  <from>
                    <xdr:col>6</xdr:col>
                    <xdr:colOff>123825</xdr:colOff>
                    <xdr:row>4</xdr:row>
                    <xdr:rowOff>142875</xdr:rowOff>
                  </from>
                  <to>
                    <xdr:col>6</xdr:col>
                    <xdr:colOff>476250</xdr:colOff>
                    <xdr:row>4</xdr:row>
                    <xdr:rowOff>361950</xdr:rowOff>
                  </to>
                </anchor>
              </controlPr>
            </control>
          </mc:Choice>
        </mc:AlternateContent>
        <mc:AlternateContent xmlns:mc="http://schemas.openxmlformats.org/markup-compatibility/2006">
          <mc:Choice Requires="x14">
            <control shapeId="19525" r:id="rId38" name="Option Button 69">
              <controlPr defaultSize="0" autoFill="0" autoLine="0" autoPict="0">
                <anchor moveWithCells="1">
                  <from>
                    <xdr:col>6</xdr:col>
                    <xdr:colOff>123825</xdr:colOff>
                    <xdr:row>5</xdr:row>
                    <xdr:rowOff>133350</xdr:rowOff>
                  </from>
                  <to>
                    <xdr:col>6</xdr:col>
                    <xdr:colOff>476250</xdr:colOff>
                    <xdr:row>5</xdr:row>
                    <xdr:rowOff>361950</xdr:rowOff>
                  </to>
                </anchor>
              </controlPr>
            </control>
          </mc:Choice>
        </mc:AlternateContent>
        <mc:AlternateContent xmlns:mc="http://schemas.openxmlformats.org/markup-compatibility/2006">
          <mc:Choice Requires="x14">
            <control shapeId="19526" r:id="rId39" name="Option Button 70">
              <controlPr defaultSize="0" autoFill="0" autoLine="0" autoPict="0">
                <anchor moveWithCells="1">
                  <from>
                    <xdr:col>6</xdr:col>
                    <xdr:colOff>123825</xdr:colOff>
                    <xdr:row>6</xdr:row>
                    <xdr:rowOff>57150</xdr:rowOff>
                  </from>
                  <to>
                    <xdr:col>6</xdr:col>
                    <xdr:colOff>457200</xdr:colOff>
                    <xdr:row>6</xdr:row>
                    <xdr:rowOff>314325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9">
    <pageSetUpPr fitToPage="1"/>
  </sheetPr>
  <dimension ref="A1:AX28"/>
  <sheetViews>
    <sheetView zoomScale="90" zoomScaleNormal="90" workbookViewId="0">
      <pane ySplit="2" topLeftCell="A3" activePane="bottomLeft" state="frozen"/>
      <selection activeCell="F19" sqref="F19"/>
      <selection pane="bottomLeft"/>
    </sheetView>
  </sheetViews>
  <sheetFormatPr baseColWidth="10" defaultColWidth="11.42578125" defaultRowHeight="21.75" customHeight="1"/>
  <cols>
    <col min="1" max="1" width="4.42578125" style="9" customWidth="1"/>
    <col min="2" max="2" width="48.5703125" style="9" customWidth="1"/>
    <col min="3" max="3" width="9.42578125" style="62" customWidth="1"/>
    <col min="4" max="4" width="80.85546875" style="20" customWidth="1"/>
    <col min="5" max="5" width="18" style="20" customWidth="1"/>
    <col min="6" max="6" width="12.42578125" style="3" customWidth="1"/>
    <col min="7" max="7" width="7.42578125" style="3" customWidth="1"/>
    <col min="8" max="8" width="12.42578125" style="3" customWidth="1"/>
    <col min="9" max="9" width="10.42578125" style="7" hidden="1" customWidth="1"/>
    <col min="10" max="10" width="9.140625" style="7" hidden="1" customWidth="1"/>
    <col min="11" max="11" width="41.85546875" style="3" customWidth="1"/>
    <col min="12" max="12" width="11.42578125" style="3" customWidth="1"/>
    <col min="13" max="16384" width="11.42578125" style="3"/>
  </cols>
  <sheetData>
    <row r="1" spans="1:50" s="2" customFormat="1" ht="21.75" customHeight="1">
      <c r="A1" s="98" t="s">
        <v>218</v>
      </c>
      <c r="B1" s="74"/>
      <c r="C1" s="63" t="s">
        <v>219</v>
      </c>
      <c r="D1" s="75"/>
      <c r="E1" s="75"/>
      <c r="F1" s="219"/>
      <c r="G1" s="218" t="s">
        <v>10</v>
      </c>
      <c r="H1" s="117">
        <f>'4_Nachweiserbringung'!F91</f>
        <v>0</v>
      </c>
      <c r="I1" s="64"/>
      <c r="J1" s="64"/>
      <c r="K1" s="77"/>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1"/>
      <c r="AX1" s="1"/>
    </row>
    <row r="2" spans="1:50" s="4" customFormat="1" ht="66" customHeight="1">
      <c r="A2" s="79" t="s">
        <v>11</v>
      </c>
      <c r="B2" s="80" t="s">
        <v>12</v>
      </c>
      <c r="C2" s="81" t="s">
        <v>13</v>
      </c>
      <c r="D2" s="82" t="s">
        <v>14</v>
      </c>
      <c r="E2" s="82" t="s">
        <v>76</v>
      </c>
      <c r="F2" s="82" t="s">
        <v>16</v>
      </c>
      <c r="G2" s="81" t="s">
        <v>17</v>
      </c>
      <c r="H2" s="82" t="s">
        <v>18</v>
      </c>
      <c r="I2" s="83" t="s">
        <v>19</v>
      </c>
      <c r="J2" s="84" t="s">
        <v>14</v>
      </c>
      <c r="K2" s="85" t="s">
        <v>20</v>
      </c>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0" ht="46.5" customHeight="1">
      <c r="A3" s="221">
        <v>25</v>
      </c>
      <c r="B3" s="240" t="s">
        <v>220</v>
      </c>
      <c r="C3" s="66">
        <v>0</v>
      </c>
      <c r="D3" s="297" t="s">
        <v>221</v>
      </c>
      <c r="E3" s="114">
        <v>1</v>
      </c>
      <c r="F3" s="44">
        <v>0</v>
      </c>
      <c r="G3" s="29"/>
      <c r="H3" s="30"/>
      <c r="I3" s="7">
        <v>1</v>
      </c>
      <c r="J3" s="87" t="s">
        <v>23</v>
      </c>
      <c r="K3" s="58"/>
    </row>
    <row r="4" spans="1:50" ht="21.75" customHeight="1">
      <c r="A4" s="223"/>
      <c r="B4" s="520" t="s">
        <v>222</v>
      </c>
      <c r="C4" s="66" t="s">
        <v>8</v>
      </c>
      <c r="D4" s="60" t="s">
        <v>223</v>
      </c>
      <c r="E4" s="115">
        <v>5</v>
      </c>
      <c r="F4" s="10">
        <v>0.02</v>
      </c>
      <c r="G4" s="6"/>
      <c r="H4" s="11"/>
      <c r="I4" s="7">
        <f>IF(Variable1+Variable2+Variable3+Variable4+Variable5+Variable6&gt;0,0,1)</f>
        <v>1</v>
      </c>
      <c r="J4" s="7" t="s">
        <v>396</v>
      </c>
      <c r="K4" s="57"/>
    </row>
    <row r="5" spans="1:50" ht="21.75" customHeight="1">
      <c r="A5" s="223"/>
      <c r="B5" s="520"/>
      <c r="C5" s="66" t="s">
        <v>28</v>
      </c>
      <c r="D5" s="60" t="s">
        <v>224</v>
      </c>
      <c r="E5" s="115">
        <v>15</v>
      </c>
      <c r="F5" s="10">
        <v>0.04</v>
      </c>
      <c r="G5" s="6"/>
      <c r="H5" s="11"/>
      <c r="I5" s="7">
        <f>IF(B_TOT&gt;0,0,1)</f>
        <v>1</v>
      </c>
      <c r="J5" s="7" t="s">
        <v>397</v>
      </c>
      <c r="K5" s="57"/>
    </row>
    <row r="6" spans="1:50" ht="21.75" customHeight="1">
      <c r="A6" s="223"/>
      <c r="B6" s="522" t="s">
        <v>225</v>
      </c>
      <c r="C6" s="66" t="s">
        <v>31</v>
      </c>
      <c r="D6" s="60" t="s">
        <v>226</v>
      </c>
      <c r="E6" s="115">
        <v>20</v>
      </c>
      <c r="F6" s="10">
        <v>0.05</v>
      </c>
      <c r="G6" s="6"/>
      <c r="H6" s="11"/>
      <c r="I6" s="7">
        <f>IF(SUM(Variable18+Variable17+Variable13+Variable11)&gt;0,0,1)</f>
        <v>1</v>
      </c>
      <c r="J6" s="7" t="s">
        <v>398</v>
      </c>
      <c r="K6" s="57"/>
    </row>
    <row r="7" spans="1:50" ht="21.75" customHeight="1">
      <c r="A7" s="225"/>
      <c r="B7" s="523"/>
      <c r="C7" s="67" t="s">
        <v>33</v>
      </c>
      <c r="D7" s="61" t="s">
        <v>227</v>
      </c>
      <c r="E7" s="116">
        <v>25</v>
      </c>
      <c r="F7" s="14">
        <v>0.06</v>
      </c>
      <c r="G7" s="15"/>
      <c r="H7" s="16">
        <f>IF(I3=1,F3,(IF(I3=2,F4,IF(I3=3,F5,IF(I3=4,F6,IF(I3=5,F7,""))))))*I4*I5</f>
        <v>0</v>
      </c>
      <c r="I7" s="88">
        <f>IF(I3=1,F3,(IF(I3=2,F4,IF(I3=3,F5,IF(I3=4,F6,IF(I3=5,F7,""))))))</f>
        <v>0</v>
      </c>
      <c r="J7" s="7" t="s">
        <v>35</v>
      </c>
      <c r="K7" s="55"/>
    </row>
    <row r="8" spans="1:50" s="8" customFormat="1" ht="45.75" customHeight="1">
      <c r="A8" s="89">
        <v>26</v>
      </c>
      <c r="B8" s="99" t="s">
        <v>228</v>
      </c>
      <c r="C8" s="68">
        <v>0</v>
      </c>
      <c r="D8" s="18" t="s">
        <v>229</v>
      </c>
      <c r="E8" s="123" t="s">
        <v>112</v>
      </c>
      <c r="F8" s="90">
        <v>0</v>
      </c>
      <c r="H8" s="19"/>
      <c r="I8" s="87">
        <v>1</v>
      </c>
      <c r="J8" s="87" t="s">
        <v>23</v>
      </c>
      <c r="K8" s="52"/>
    </row>
    <row r="9" spans="1:50" ht="30.75" customHeight="1">
      <c r="A9" s="72"/>
      <c r="B9" s="514" t="s">
        <v>230</v>
      </c>
      <c r="C9" s="69" t="s">
        <v>8</v>
      </c>
      <c r="D9" s="18" t="s">
        <v>231</v>
      </c>
      <c r="E9" s="123" t="s">
        <v>112</v>
      </c>
      <c r="F9" s="92">
        <v>0.04</v>
      </c>
      <c r="H9" s="21"/>
      <c r="K9" s="53"/>
    </row>
    <row r="10" spans="1:50" ht="30.75" customHeight="1">
      <c r="A10" s="72"/>
      <c r="B10" s="514"/>
      <c r="C10" s="69" t="s">
        <v>28</v>
      </c>
      <c r="D10" s="217" t="s">
        <v>232</v>
      </c>
      <c r="E10" s="123" t="s">
        <v>112</v>
      </c>
      <c r="F10" s="92">
        <v>0.06</v>
      </c>
      <c r="H10" s="21"/>
      <c r="K10" s="53"/>
    </row>
    <row r="11" spans="1:50" ht="30.75" customHeight="1">
      <c r="A11" s="72"/>
      <c r="B11" s="524" t="s">
        <v>225</v>
      </c>
      <c r="C11" s="69" t="s">
        <v>31</v>
      </c>
      <c r="D11" s="217" t="s">
        <v>233</v>
      </c>
      <c r="E11" s="123" t="s">
        <v>112</v>
      </c>
      <c r="F11" s="93">
        <v>0.11</v>
      </c>
      <c r="H11" s="21"/>
      <c r="K11" s="53"/>
    </row>
    <row r="12" spans="1:50" ht="30.75" customHeight="1">
      <c r="A12" s="73"/>
      <c r="B12" s="525"/>
      <c r="C12" s="70" t="s">
        <v>33</v>
      </c>
      <c r="D12" s="242" t="s">
        <v>234</v>
      </c>
      <c r="E12" s="124" t="s">
        <v>112</v>
      </c>
      <c r="F12" s="24">
        <v>0.16</v>
      </c>
      <c r="G12" s="25"/>
      <c r="H12" s="26">
        <f>IF(I8=1,F8,(IF(I8=2,F9,IF(I8=3,F10,IF(I8=4,F11,IF(I8=5,F12,""))))))*I4*I5</f>
        <v>0</v>
      </c>
      <c r="I12" s="88" t="str">
        <f>IF(I8=1,E8,(IF(I8=2,E9,IF(I8=3,E10,IF(I8=4,E11,IF(I8=5,E12,""))))))</f>
        <v>-</v>
      </c>
      <c r="J12" s="7" t="s">
        <v>35</v>
      </c>
      <c r="K12" s="54"/>
    </row>
    <row r="13" spans="1:50" ht="30" customHeight="1">
      <c r="A13" s="221">
        <v>27</v>
      </c>
      <c r="B13" s="222" t="s">
        <v>235</v>
      </c>
      <c r="C13" s="65">
        <v>0</v>
      </c>
      <c r="D13" s="59" t="s">
        <v>236</v>
      </c>
      <c r="E13" s="27">
        <v>100</v>
      </c>
      <c r="F13" s="28">
        <v>0</v>
      </c>
      <c r="G13" s="29"/>
      <c r="H13" s="30"/>
      <c r="I13" s="7">
        <v>1</v>
      </c>
      <c r="J13" s="87" t="s">
        <v>23</v>
      </c>
      <c r="K13" s="103"/>
    </row>
    <row r="14" spans="1:50" ht="21.75" customHeight="1">
      <c r="A14" s="223"/>
      <c r="B14" s="224" t="s">
        <v>237</v>
      </c>
      <c r="C14" s="66" t="s">
        <v>8</v>
      </c>
      <c r="D14" s="60" t="s">
        <v>238</v>
      </c>
      <c r="E14" s="5">
        <v>120</v>
      </c>
      <c r="F14" s="31">
        <f>20/500*0.8</f>
        <v>3.2000000000000001E-2</v>
      </c>
      <c r="G14" s="6"/>
      <c r="H14" s="11"/>
      <c r="K14" s="104"/>
    </row>
    <row r="15" spans="1:50" ht="21.75" customHeight="1">
      <c r="A15" s="223"/>
      <c r="B15" s="241"/>
      <c r="C15" s="66" t="s">
        <v>28</v>
      </c>
      <c r="D15" s="60" t="s">
        <v>239</v>
      </c>
      <c r="E15" s="5">
        <v>150</v>
      </c>
      <c r="F15" s="31">
        <v>8.0000000000000016E-2</v>
      </c>
      <c r="G15" s="6"/>
      <c r="H15" s="11"/>
      <c r="K15" s="104"/>
    </row>
    <row r="16" spans="1:50" ht="21.75" customHeight="1">
      <c r="A16" s="223"/>
      <c r="B16" s="522" t="s">
        <v>225</v>
      </c>
      <c r="C16" s="66" t="s">
        <v>31</v>
      </c>
      <c r="D16" s="60" t="s">
        <v>240</v>
      </c>
      <c r="E16" s="5">
        <v>180</v>
      </c>
      <c r="F16" s="31">
        <v>0.128</v>
      </c>
      <c r="G16" s="6"/>
      <c r="H16" s="11"/>
      <c r="K16" s="104"/>
    </row>
    <row r="17" spans="1:11" ht="21.75" customHeight="1">
      <c r="A17" s="225"/>
      <c r="B17" s="523"/>
      <c r="C17" s="67" t="s">
        <v>33</v>
      </c>
      <c r="D17" s="61" t="s">
        <v>241</v>
      </c>
      <c r="E17" s="13">
        <v>210</v>
      </c>
      <c r="F17" s="32">
        <v>0.17600000000000002</v>
      </c>
      <c r="G17" s="15"/>
      <c r="H17" s="16">
        <f>IF(I13=1,F13,(IF(I13=2,F14,IF(I13=3,F15,IF(I13=4,F16,IF(I13=5,F17,""))))))*I4*I5</f>
        <v>0</v>
      </c>
      <c r="I17" s="88">
        <f>IF(I13=1,E13,(IF(I13=2,E14,IF(I13=3,E15,IF(I13=4,E16,IF(I13=5,E17,""))))))</f>
        <v>100</v>
      </c>
      <c r="J17" s="7" t="s">
        <v>35</v>
      </c>
      <c r="K17" s="102"/>
    </row>
    <row r="18" spans="1:11" ht="39" customHeight="1">
      <c r="A18" s="72">
        <v>28</v>
      </c>
      <c r="B18" s="300" t="s">
        <v>242</v>
      </c>
      <c r="C18" s="71">
        <v>0</v>
      </c>
      <c r="D18" s="20" t="s">
        <v>22</v>
      </c>
      <c r="E18" s="108">
        <f>ROUND(MID($B$19,11,2),2)</f>
        <v>41</v>
      </c>
      <c r="F18" s="93">
        <v>0</v>
      </c>
      <c r="H18" s="21"/>
      <c r="I18" s="7">
        <v>1</v>
      </c>
      <c r="J18" s="87" t="s">
        <v>23</v>
      </c>
      <c r="K18" s="53"/>
    </row>
    <row r="19" spans="1:11" ht="42" customHeight="1">
      <c r="A19" s="72"/>
      <c r="B19" s="354" t="s">
        <v>243</v>
      </c>
      <c r="C19" s="69" t="s">
        <v>8</v>
      </c>
      <c r="D19" s="121" t="s">
        <v>244</v>
      </c>
      <c r="E19" s="109">
        <f>ROUND(MID($B$19,11,2),2)-ROUND(MID($B$19,11,2)*LEFT(D19,2)/100,2)</f>
        <v>34.85</v>
      </c>
      <c r="F19" s="93">
        <v>6.0100000000000001E-2</v>
      </c>
      <c r="H19" s="21"/>
      <c r="I19" s="7">
        <f>IF(I5=0,0,(IF(I18=1,F18,(IF(I18=2,F19,IF(I18=3,F20,IF(I18=4,F21,IF(I18=5,F22,"")))))))*(1-'3B_Fleisch'!H12))</f>
        <v>0</v>
      </c>
      <c r="J19" s="7" t="s">
        <v>30</v>
      </c>
      <c r="K19" s="53"/>
    </row>
    <row r="20" spans="1:11" ht="44.25" customHeight="1">
      <c r="A20" s="72"/>
      <c r="B20" s="521" t="s">
        <v>245</v>
      </c>
      <c r="C20" s="69" t="s">
        <v>28</v>
      </c>
      <c r="D20" s="121" t="s">
        <v>246</v>
      </c>
      <c r="E20" s="109">
        <f t="shared" ref="E20:E22" si="0">ROUND(MID($B$19,11,2),2)-ROUND(MID($B$19,11,2)*LEFT(D20,2)/100,2)</f>
        <v>32.799999999999997</v>
      </c>
      <c r="F20" s="93">
        <v>8.0100000000000005E-2</v>
      </c>
      <c r="H20" s="21"/>
      <c r="I20" s="208"/>
      <c r="K20" s="53"/>
    </row>
    <row r="21" spans="1:11" ht="44.25" customHeight="1">
      <c r="A21" s="72"/>
      <c r="B21" s="514"/>
      <c r="C21" s="69" t="s">
        <v>31</v>
      </c>
      <c r="D21" s="121" t="s">
        <v>247</v>
      </c>
      <c r="E21" s="109">
        <f t="shared" si="0"/>
        <v>30.75</v>
      </c>
      <c r="F21" s="93">
        <v>0.10009999999999999</v>
      </c>
      <c r="H21" s="21"/>
      <c r="I21" s="7">
        <f>IF(OR('3E_Vegan_Vegetarisch'!J3=2,'3E_Vegan_Vegetarisch'!J8=2,'3E_Vegan_Vegetarisch'!J13=2,'3E_Vegan_Vegetarisch'!J18=2),0.75,IF(OR('3E_Vegan_Vegetarisch'!J3=3,'3E_Vegan_Vegetarisch'!J8=3,'3E_Vegan_Vegetarisch'!J13=3,'3E_Vegan_Vegetarisch'!J18=3),0.5,IF(OR('3E_Vegan_Vegetarisch'!J3=4,'3E_Vegan_Vegetarisch'!J8=4,'3E_Vegan_Vegetarisch'!J13=4,'3E_Vegan_Vegetarisch'!J18=4),0.25,IF(OR('3E_Vegan_Vegetarisch'!J3=5,'3E_Vegan_Vegetarisch'!J8=5,'3E_Vegan_Vegetarisch'!J13=5,'3E_Vegan_Vegetarisch'!J18=5),0,1))))</f>
        <v>1</v>
      </c>
      <c r="J21" s="7" t="s">
        <v>248</v>
      </c>
      <c r="K21" s="53"/>
    </row>
    <row r="22" spans="1:11" ht="44.25" customHeight="1">
      <c r="A22" s="73"/>
      <c r="B22" s="511"/>
      <c r="C22" s="70" t="s">
        <v>33</v>
      </c>
      <c r="D22" s="121" t="s">
        <v>249</v>
      </c>
      <c r="E22" s="109">
        <f t="shared" si="0"/>
        <v>28.7</v>
      </c>
      <c r="F22" s="93">
        <v>0.1201</v>
      </c>
      <c r="H22" s="356">
        <f>IF(I5=0,0,(IF(I18=1,F18,(IF(I18=2,F19,IF(I18=3,F20,IF(I18=4,F21,IF(I18=5,F22,"")))))))*(1-'3B_Fleisch'!H12))*I21</f>
        <v>0</v>
      </c>
      <c r="I22" s="88">
        <f>IF(I18=1,E18,(IF(I18=2,E19,IF(I18=3,E20,IF(I18=4,E21,IF(I18=5,E22,""))))))</f>
        <v>41</v>
      </c>
      <c r="J22" s="7" t="s">
        <v>35</v>
      </c>
      <c r="K22" s="54"/>
    </row>
    <row r="23" spans="1:11" ht="39" customHeight="1">
      <c r="A23" s="86">
        <v>29</v>
      </c>
      <c r="B23" s="355" t="s">
        <v>250</v>
      </c>
      <c r="C23" s="65">
        <v>0</v>
      </c>
      <c r="D23" s="369" t="s">
        <v>22</v>
      </c>
      <c r="E23" s="364">
        <f>ROUND(MID($B$24,11,2),2)</f>
        <v>15</v>
      </c>
      <c r="F23" s="373">
        <v>0</v>
      </c>
      <c r="G23" s="360"/>
      <c r="H23" s="361"/>
      <c r="I23" s="7">
        <v>1</v>
      </c>
      <c r="J23" s="87" t="s">
        <v>23</v>
      </c>
      <c r="K23" s="58"/>
    </row>
    <row r="24" spans="1:11" ht="42" customHeight="1">
      <c r="A24" s="86"/>
      <c r="B24" s="231" t="s">
        <v>251</v>
      </c>
      <c r="C24" s="66" t="s">
        <v>8</v>
      </c>
      <c r="D24" s="122" t="s">
        <v>252</v>
      </c>
      <c r="E24" s="365">
        <f>ROUND(MID($B$24,11,2),2)-ROUND(MID($B$24,11,2)*LEFT(D24,2)/100,2)</f>
        <v>12.75</v>
      </c>
      <c r="F24" s="31">
        <v>7.7999999999999996E-3</v>
      </c>
      <c r="G24" s="362"/>
      <c r="H24" s="11"/>
      <c r="K24" s="57"/>
    </row>
    <row r="25" spans="1:11" ht="44.25" customHeight="1">
      <c r="A25" s="86"/>
      <c r="B25" s="517" t="s">
        <v>245</v>
      </c>
      <c r="C25" s="66" t="s">
        <v>28</v>
      </c>
      <c r="D25" s="122" t="s">
        <v>253</v>
      </c>
      <c r="E25" s="365">
        <f t="shared" ref="E25:E27" si="1">ROUND(MID($B$24,11,2),2)-ROUND(MID($B$24,11,2)*LEFT(D25,2)/100,2)</f>
        <v>12</v>
      </c>
      <c r="F25" s="31">
        <v>1.04E-2</v>
      </c>
      <c r="G25" s="362"/>
      <c r="H25" s="11"/>
      <c r="I25" s="208" t="s">
        <v>254</v>
      </c>
      <c r="J25" s="7" t="s">
        <v>255</v>
      </c>
      <c r="K25" s="367"/>
    </row>
    <row r="26" spans="1:11" ht="44.25" customHeight="1">
      <c r="A26" s="86"/>
      <c r="B26" s="518"/>
      <c r="C26" s="66" t="s">
        <v>31</v>
      </c>
      <c r="D26" s="122" t="s">
        <v>256</v>
      </c>
      <c r="E26" s="365">
        <f t="shared" si="1"/>
        <v>11.25</v>
      </c>
      <c r="F26" s="31">
        <v>1.2999999999999999E-2</v>
      </c>
      <c r="G26" s="362"/>
      <c r="H26" s="11"/>
      <c r="K26" s="368"/>
    </row>
    <row r="27" spans="1:11" ht="44.25" customHeight="1">
      <c r="A27" s="357"/>
      <c r="B27" s="519"/>
      <c r="C27" s="67" t="s">
        <v>33</v>
      </c>
      <c r="D27" s="363" t="s">
        <v>257</v>
      </c>
      <c r="E27" s="366">
        <f t="shared" si="1"/>
        <v>10.5</v>
      </c>
      <c r="F27" s="374">
        <v>1.55E-2</v>
      </c>
      <c r="G27" s="358"/>
      <c r="H27" s="359">
        <f>IF(I6=0,0,(IF(I23=1,F23,(IF(I23=2,F24,IF(I23=3,F25,IF(I23=4,F26,IF(I23=5,F27,"")))))))*I21)</f>
        <v>0</v>
      </c>
      <c r="I27" s="88"/>
      <c r="K27" s="55"/>
    </row>
    <row r="28" spans="1:11" ht="57.75">
      <c r="G28" s="20"/>
      <c r="H28" s="78">
        <f>SUM(H7,H12,H17,H22,H27)</f>
        <v>0</v>
      </c>
      <c r="K28" s="8" t="s">
        <v>258</v>
      </c>
    </row>
  </sheetData>
  <mergeCells count="7">
    <mergeCell ref="B25:B27"/>
    <mergeCell ref="B4:B5"/>
    <mergeCell ref="B20:B22"/>
    <mergeCell ref="B9:B10"/>
    <mergeCell ref="B6:B7"/>
    <mergeCell ref="B11:B12"/>
    <mergeCell ref="B16:B17"/>
  </mergeCells>
  <conditionalFormatting sqref="A23:K27">
    <cfRule type="expression" dxfId="220" priority="22">
      <formula>$I$6=0</formula>
    </cfRule>
  </conditionalFormatting>
  <conditionalFormatting sqref="A3:XFD6 A7 C7:XFD7 A8:XFD10 A11:A12 C11:XFD12 A13:XFD15 A16:A17 C16:XFD17 A18:XFD22">
    <cfRule type="expression" dxfId="219" priority="28">
      <formula>$I$5=0</formula>
    </cfRule>
  </conditionalFormatting>
  <conditionalFormatting sqref="A3:XFD6 A7 C7:XFD7 A8:XFD10 A11:A12 C11:XFD12 A13:XFD15 A16:A17 C16:XFD17">
    <cfRule type="expression" dxfId="218" priority="27">
      <formula>$I$4=0</formula>
    </cfRule>
  </conditionalFormatting>
  <conditionalFormatting sqref="B11">
    <cfRule type="expression" dxfId="217" priority="20">
      <formula>$I$5=0</formula>
    </cfRule>
    <cfRule type="expression" dxfId="216" priority="21">
      <formula>$I$4=0</formula>
    </cfRule>
  </conditionalFormatting>
  <conditionalFormatting sqref="B16">
    <cfRule type="expression" dxfId="215" priority="13">
      <formula>$I$5=0</formula>
    </cfRule>
    <cfRule type="expression" dxfId="214" priority="19">
      <formula>$I$4=0</formula>
    </cfRule>
  </conditionalFormatting>
  <conditionalFormatting sqref="B19">
    <cfRule type="expression" dxfId="213" priority="6">
      <formula>$I$4=0</formula>
    </cfRule>
  </conditionalFormatting>
  <conditionalFormatting sqref="B24">
    <cfRule type="expression" dxfId="212" priority="1">
      <formula>$I$4=0</formula>
    </cfRule>
  </conditionalFormatting>
  <conditionalFormatting sqref="D27">
    <cfRule type="expression" dxfId="211" priority="5">
      <formula>$I$4=0</formula>
    </cfRule>
  </conditionalFormatting>
  <conditionalFormatting sqref="H7">
    <cfRule type="expression" dxfId="210" priority="42" stopIfTrue="1">
      <formula>AND($I$14=3,$I$3&gt;1)</formula>
    </cfRule>
  </conditionalFormatting>
  <conditionalFormatting sqref="H12">
    <cfRule type="expression" dxfId="209" priority="41" stopIfTrue="1">
      <formula>AND($I$14=3,$I$8&gt;1)</formula>
    </cfRule>
  </conditionalFormatting>
  <conditionalFormatting sqref="H22">
    <cfRule type="expression" dxfId="208" priority="35" stopIfTrue="1">
      <formula>AND($I$14=3,$I$18&gt;1)</formula>
    </cfRule>
  </conditionalFormatting>
  <conditionalFormatting sqref="H27">
    <cfRule type="expression" dxfId="207" priority="2" stopIfTrue="1">
      <formula>AND($I$14=3,$I$18&gt;1)</formula>
    </cfRule>
    <cfRule type="expression" dxfId="206" priority="3">
      <formula>$I$4=0</formula>
    </cfRule>
    <cfRule type="expression" dxfId="205" priority="4" stopIfTrue="1">
      <formula>AND($I$14=3,$I$18&gt;1)</formula>
    </cfRule>
  </conditionalFormatting>
  <pageMargins left="0.7" right="0.7" top="0.78740157499999996" bottom="0.78740157499999996" header="0.3" footer="0.3"/>
  <pageSetup paperSize="9" scale="57" fitToHeight="2" orientation="landscape" horizontalDpi="300"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Group Box 1">
              <controlPr defaultSize="0" autoFill="0" autoPict="0">
                <anchor moveWithCells="1">
                  <from>
                    <xdr:col>6</xdr:col>
                    <xdr:colOff>0</xdr:colOff>
                    <xdr:row>2</xdr:row>
                    <xdr:rowOff>9525</xdr:rowOff>
                  </from>
                  <to>
                    <xdr:col>7</xdr:col>
                    <xdr:colOff>38100</xdr:colOff>
                    <xdr:row>7</xdr:row>
                    <xdr:rowOff>0</xdr:rowOff>
                  </to>
                </anchor>
              </controlPr>
            </control>
          </mc:Choice>
        </mc:AlternateContent>
        <mc:AlternateContent xmlns:mc="http://schemas.openxmlformats.org/markup-compatibility/2006">
          <mc:Choice Requires="x14">
            <control shapeId="33794" r:id="rId5" name="Option Button 2">
              <controlPr defaultSize="0" autoFill="0" autoLine="0" autoPict="0">
                <anchor moveWithCells="1">
                  <from>
                    <xdr:col>6</xdr:col>
                    <xdr:colOff>152400</xdr:colOff>
                    <xdr:row>2</xdr:row>
                    <xdr:rowOff>38100</xdr:rowOff>
                  </from>
                  <to>
                    <xdr:col>6</xdr:col>
                    <xdr:colOff>457200</xdr:colOff>
                    <xdr:row>2</xdr:row>
                    <xdr:rowOff>295275</xdr:rowOff>
                  </to>
                </anchor>
              </controlPr>
            </control>
          </mc:Choice>
        </mc:AlternateContent>
        <mc:AlternateContent xmlns:mc="http://schemas.openxmlformats.org/markup-compatibility/2006">
          <mc:Choice Requires="x14">
            <control shapeId="33795" r:id="rId6" name="Option Button 3">
              <controlPr defaultSize="0" autoFill="0" autoLine="0" autoPict="0">
                <anchor moveWithCells="1">
                  <from>
                    <xdr:col>6</xdr:col>
                    <xdr:colOff>152400</xdr:colOff>
                    <xdr:row>3</xdr:row>
                    <xdr:rowOff>28575</xdr:rowOff>
                  </from>
                  <to>
                    <xdr:col>7</xdr:col>
                    <xdr:colOff>0</xdr:colOff>
                    <xdr:row>3</xdr:row>
                    <xdr:rowOff>257175</xdr:rowOff>
                  </to>
                </anchor>
              </controlPr>
            </control>
          </mc:Choice>
        </mc:AlternateContent>
        <mc:AlternateContent xmlns:mc="http://schemas.openxmlformats.org/markup-compatibility/2006">
          <mc:Choice Requires="x14">
            <control shapeId="33796" r:id="rId7" name="Option Button 4">
              <controlPr defaultSize="0" autoFill="0" autoLine="0" autoPict="0">
                <anchor moveWithCells="1">
                  <from>
                    <xdr:col>6</xdr:col>
                    <xdr:colOff>152400</xdr:colOff>
                    <xdr:row>4</xdr:row>
                    <xdr:rowOff>38100</xdr:rowOff>
                  </from>
                  <to>
                    <xdr:col>6</xdr:col>
                    <xdr:colOff>390525</xdr:colOff>
                    <xdr:row>4</xdr:row>
                    <xdr:rowOff>257175</xdr:rowOff>
                  </to>
                </anchor>
              </controlPr>
            </control>
          </mc:Choice>
        </mc:AlternateContent>
        <mc:AlternateContent xmlns:mc="http://schemas.openxmlformats.org/markup-compatibility/2006">
          <mc:Choice Requires="x14">
            <control shapeId="33797" r:id="rId8" name="Option Button 5">
              <controlPr defaultSize="0" autoFill="0" autoLine="0" autoPict="0">
                <anchor moveWithCells="1">
                  <from>
                    <xdr:col>6</xdr:col>
                    <xdr:colOff>152400</xdr:colOff>
                    <xdr:row>5</xdr:row>
                    <xdr:rowOff>28575</xdr:rowOff>
                  </from>
                  <to>
                    <xdr:col>7</xdr:col>
                    <xdr:colOff>28575</xdr:colOff>
                    <xdr:row>5</xdr:row>
                    <xdr:rowOff>257175</xdr:rowOff>
                  </to>
                </anchor>
              </controlPr>
            </control>
          </mc:Choice>
        </mc:AlternateContent>
        <mc:AlternateContent xmlns:mc="http://schemas.openxmlformats.org/markup-compatibility/2006">
          <mc:Choice Requires="x14">
            <control shapeId="33798" r:id="rId9" name="Option Button 6">
              <controlPr defaultSize="0" autoFill="0" autoLine="0" autoPict="0">
                <anchor moveWithCells="1">
                  <from>
                    <xdr:col>6</xdr:col>
                    <xdr:colOff>152400</xdr:colOff>
                    <xdr:row>6</xdr:row>
                    <xdr:rowOff>9525</xdr:rowOff>
                  </from>
                  <to>
                    <xdr:col>6</xdr:col>
                    <xdr:colOff>381000</xdr:colOff>
                    <xdr:row>6</xdr:row>
                    <xdr:rowOff>238125</xdr:rowOff>
                  </to>
                </anchor>
              </controlPr>
            </control>
          </mc:Choice>
        </mc:AlternateContent>
        <mc:AlternateContent xmlns:mc="http://schemas.openxmlformats.org/markup-compatibility/2006">
          <mc:Choice Requires="x14">
            <control shapeId="33799" r:id="rId10" name="Group Box 7">
              <controlPr defaultSize="0" autoFill="0" autoPict="0">
                <anchor moveWithCells="1">
                  <from>
                    <xdr:col>6</xdr:col>
                    <xdr:colOff>0</xdr:colOff>
                    <xdr:row>7</xdr:row>
                    <xdr:rowOff>0</xdr:rowOff>
                  </from>
                  <to>
                    <xdr:col>7</xdr:col>
                    <xdr:colOff>38100</xdr:colOff>
                    <xdr:row>11</xdr:row>
                    <xdr:rowOff>381000</xdr:rowOff>
                  </to>
                </anchor>
              </controlPr>
            </control>
          </mc:Choice>
        </mc:AlternateContent>
        <mc:AlternateContent xmlns:mc="http://schemas.openxmlformats.org/markup-compatibility/2006">
          <mc:Choice Requires="x14">
            <control shapeId="33800" r:id="rId11" name="Option Button 8">
              <controlPr defaultSize="0" autoFill="0" autoLine="0" autoPict="0">
                <anchor moveWithCells="1">
                  <from>
                    <xdr:col>6</xdr:col>
                    <xdr:colOff>152400</xdr:colOff>
                    <xdr:row>7</xdr:row>
                    <xdr:rowOff>104775</xdr:rowOff>
                  </from>
                  <to>
                    <xdr:col>6</xdr:col>
                    <xdr:colOff>447675</xdr:colOff>
                    <xdr:row>7</xdr:row>
                    <xdr:rowOff>352425</xdr:rowOff>
                  </to>
                </anchor>
              </controlPr>
            </control>
          </mc:Choice>
        </mc:AlternateContent>
        <mc:AlternateContent xmlns:mc="http://schemas.openxmlformats.org/markup-compatibility/2006">
          <mc:Choice Requires="x14">
            <control shapeId="33801" r:id="rId12" name="Option Button 9">
              <controlPr defaultSize="0" autoFill="0" autoLine="0" autoPict="0">
                <anchor moveWithCells="1">
                  <from>
                    <xdr:col>6</xdr:col>
                    <xdr:colOff>152400</xdr:colOff>
                    <xdr:row>8</xdr:row>
                    <xdr:rowOff>28575</xdr:rowOff>
                  </from>
                  <to>
                    <xdr:col>6</xdr:col>
                    <xdr:colOff>447675</xdr:colOff>
                    <xdr:row>8</xdr:row>
                    <xdr:rowOff>266700</xdr:rowOff>
                  </to>
                </anchor>
              </controlPr>
            </control>
          </mc:Choice>
        </mc:AlternateContent>
        <mc:AlternateContent xmlns:mc="http://schemas.openxmlformats.org/markup-compatibility/2006">
          <mc:Choice Requires="x14">
            <control shapeId="33802" r:id="rId13" name="Option Button 10">
              <controlPr defaultSize="0" autoFill="0" autoLine="0" autoPict="0">
                <anchor moveWithCells="1">
                  <from>
                    <xdr:col>6</xdr:col>
                    <xdr:colOff>152400</xdr:colOff>
                    <xdr:row>9</xdr:row>
                    <xdr:rowOff>28575</xdr:rowOff>
                  </from>
                  <to>
                    <xdr:col>6</xdr:col>
                    <xdr:colOff>371475</xdr:colOff>
                    <xdr:row>9</xdr:row>
                    <xdr:rowOff>295275</xdr:rowOff>
                  </to>
                </anchor>
              </controlPr>
            </control>
          </mc:Choice>
        </mc:AlternateContent>
        <mc:AlternateContent xmlns:mc="http://schemas.openxmlformats.org/markup-compatibility/2006">
          <mc:Choice Requires="x14">
            <control shapeId="33803" r:id="rId14" name="Option Button 11">
              <controlPr defaultSize="0" autoFill="0" autoLine="0" autoPict="0">
                <anchor moveWithCells="1">
                  <from>
                    <xdr:col>6</xdr:col>
                    <xdr:colOff>152400</xdr:colOff>
                    <xdr:row>10</xdr:row>
                    <xdr:rowOff>0</xdr:rowOff>
                  </from>
                  <to>
                    <xdr:col>6</xdr:col>
                    <xdr:colOff>390525</xdr:colOff>
                    <xdr:row>10</xdr:row>
                    <xdr:rowOff>295275</xdr:rowOff>
                  </to>
                </anchor>
              </controlPr>
            </control>
          </mc:Choice>
        </mc:AlternateContent>
        <mc:AlternateContent xmlns:mc="http://schemas.openxmlformats.org/markup-compatibility/2006">
          <mc:Choice Requires="x14">
            <control shapeId="33835" r:id="rId15" name="Option Button 43">
              <controlPr defaultSize="0" autoFill="0" autoLine="0" autoPict="0">
                <anchor moveWithCells="1">
                  <from>
                    <xdr:col>6</xdr:col>
                    <xdr:colOff>152400</xdr:colOff>
                    <xdr:row>11</xdr:row>
                    <xdr:rowOff>66675</xdr:rowOff>
                  </from>
                  <to>
                    <xdr:col>6</xdr:col>
                    <xdr:colOff>457200</xdr:colOff>
                    <xdr:row>11</xdr:row>
                    <xdr:rowOff>276225</xdr:rowOff>
                  </to>
                </anchor>
              </controlPr>
            </control>
          </mc:Choice>
        </mc:AlternateContent>
        <mc:AlternateContent xmlns:mc="http://schemas.openxmlformats.org/markup-compatibility/2006">
          <mc:Choice Requires="x14">
            <control shapeId="33806" r:id="rId16" name="Option Button 14">
              <controlPr defaultSize="0" autoFill="0" autoLine="0" autoPict="0">
                <anchor moveWithCells="1">
                  <from>
                    <xdr:col>6</xdr:col>
                    <xdr:colOff>152400</xdr:colOff>
                    <xdr:row>12</xdr:row>
                    <xdr:rowOff>9525</xdr:rowOff>
                  </from>
                  <to>
                    <xdr:col>6</xdr:col>
                    <xdr:colOff>447675</xdr:colOff>
                    <xdr:row>12</xdr:row>
                    <xdr:rowOff>295275</xdr:rowOff>
                  </to>
                </anchor>
              </controlPr>
            </control>
          </mc:Choice>
        </mc:AlternateContent>
        <mc:AlternateContent xmlns:mc="http://schemas.openxmlformats.org/markup-compatibility/2006">
          <mc:Choice Requires="x14">
            <control shapeId="33807" r:id="rId17" name="Option Button 15">
              <controlPr defaultSize="0" autoFill="0" autoLine="0" autoPict="0">
                <anchor moveWithCells="1">
                  <from>
                    <xdr:col>6</xdr:col>
                    <xdr:colOff>152400</xdr:colOff>
                    <xdr:row>13</xdr:row>
                    <xdr:rowOff>9525</xdr:rowOff>
                  </from>
                  <to>
                    <xdr:col>7</xdr:col>
                    <xdr:colOff>0</xdr:colOff>
                    <xdr:row>14</xdr:row>
                    <xdr:rowOff>9525</xdr:rowOff>
                  </to>
                </anchor>
              </controlPr>
            </control>
          </mc:Choice>
        </mc:AlternateContent>
        <mc:AlternateContent xmlns:mc="http://schemas.openxmlformats.org/markup-compatibility/2006">
          <mc:Choice Requires="x14">
            <control shapeId="33808" r:id="rId18" name="Option Button 16">
              <controlPr defaultSize="0" autoFill="0" autoLine="0" autoPict="0">
                <anchor moveWithCells="1">
                  <from>
                    <xdr:col>6</xdr:col>
                    <xdr:colOff>152400</xdr:colOff>
                    <xdr:row>14</xdr:row>
                    <xdr:rowOff>28575</xdr:rowOff>
                  </from>
                  <to>
                    <xdr:col>6</xdr:col>
                    <xdr:colOff>447675</xdr:colOff>
                    <xdr:row>14</xdr:row>
                    <xdr:rowOff>257175</xdr:rowOff>
                  </to>
                </anchor>
              </controlPr>
            </control>
          </mc:Choice>
        </mc:AlternateContent>
        <mc:AlternateContent xmlns:mc="http://schemas.openxmlformats.org/markup-compatibility/2006">
          <mc:Choice Requires="x14">
            <control shapeId="33809" r:id="rId19" name="Option Button 17">
              <controlPr defaultSize="0" autoFill="0" autoLine="0" autoPict="0">
                <anchor moveWithCells="1">
                  <from>
                    <xdr:col>6</xdr:col>
                    <xdr:colOff>152400</xdr:colOff>
                    <xdr:row>15</xdr:row>
                    <xdr:rowOff>38100</xdr:rowOff>
                  </from>
                  <to>
                    <xdr:col>6</xdr:col>
                    <xdr:colOff>447675</xdr:colOff>
                    <xdr:row>15</xdr:row>
                    <xdr:rowOff>266700</xdr:rowOff>
                  </to>
                </anchor>
              </controlPr>
            </control>
          </mc:Choice>
        </mc:AlternateContent>
        <mc:AlternateContent xmlns:mc="http://schemas.openxmlformats.org/markup-compatibility/2006">
          <mc:Choice Requires="x14">
            <control shapeId="33810" r:id="rId20" name="Option Button 18">
              <controlPr defaultSize="0" autoFill="0" autoLine="0" autoPict="0">
                <anchor moveWithCells="1">
                  <from>
                    <xdr:col>6</xdr:col>
                    <xdr:colOff>152400</xdr:colOff>
                    <xdr:row>16</xdr:row>
                    <xdr:rowOff>28575</xdr:rowOff>
                  </from>
                  <to>
                    <xdr:col>6</xdr:col>
                    <xdr:colOff>409575</xdr:colOff>
                    <xdr:row>16</xdr:row>
                    <xdr:rowOff>257175</xdr:rowOff>
                  </to>
                </anchor>
              </controlPr>
            </control>
          </mc:Choice>
        </mc:AlternateContent>
        <mc:AlternateContent xmlns:mc="http://schemas.openxmlformats.org/markup-compatibility/2006">
          <mc:Choice Requires="x14">
            <control shapeId="33837" r:id="rId21" name="Option Button 45">
              <controlPr defaultSize="0" autoFill="0" autoLine="0" autoPict="0">
                <anchor moveWithCells="1">
                  <from>
                    <xdr:col>6</xdr:col>
                    <xdr:colOff>95250</xdr:colOff>
                    <xdr:row>22</xdr:row>
                    <xdr:rowOff>104775</xdr:rowOff>
                  </from>
                  <to>
                    <xdr:col>6</xdr:col>
                    <xdr:colOff>438150</xdr:colOff>
                    <xdr:row>22</xdr:row>
                    <xdr:rowOff>419100</xdr:rowOff>
                  </to>
                </anchor>
              </controlPr>
            </control>
          </mc:Choice>
        </mc:AlternateContent>
        <mc:AlternateContent xmlns:mc="http://schemas.openxmlformats.org/markup-compatibility/2006">
          <mc:Choice Requires="x14">
            <control shapeId="33838" r:id="rId22" name="Option Button 46">
              <controlPr defaultSize="0" autoFill="0" autoLine="0" autoPict="0">
                <anchor moveWithCells="1">
                  <from>
                    <xdr:col>6</xdr:col>
                    <xdr:colOff>95250</xdr:colOff>
                    <xdr:row>23</xdr:row>
                    <xdr:rowOff>180975</xdr:rowOff>
                  </from>
                  <to>
                    <xdr:col>6</xdr:col>
                    <xdr:colOff>419100</xdr:colOff>
                    <xdr:row>23</xdr:row>
                    <xdr:rowOff>438150</xdr:rowOff>
                  </to>
                </anchor>
              </controlPr>
            </control>
          </mc:Choice>
        </mc:AlternateContent>
        <mc:AlternateContent xmlns:mc="http://schemas.openxmlformats.org/markup-compatibility/2006">
          <mc:Choice Requires="x14">
            <control shapeId="33839" r:id="rId23" name="Option Button 47">
              <controlPr defaultSize="0" autoFill="0" autoLine="0" autoPict="0">
                <anchor moveWithCells="1">
                  <from>
                    <xdr:col>6</xdr:col>
                    <xdr:colOff>95250</xdr:colOff>
                    <xdr:row>24</xdr:row>
                    <xdr:rowOff>152400</xdr:rowOff>
                  </from>
                  <to>
                    <xdr:col>6</xdr:col>
                    <xdr:colOff>438150</xdr:colOff>
                    <xdr:row>24</xdr:row>
                    <xdr:rowOff>504825</xdr:rowOff>
                  </to>
                </anchor>
              </controlPr>
            </control>
          </mc:Choice>
        </mc:AlternateContent>
        <mc:AlternateContent xmlns:mc="http://schemas.openxmlformats.org/markup-compatibility/2006">
          <mc:Choice Requires="x14">
            <control shapeId="33840" r:id="rId24" name="Option Button 48">
              <controlPr defaultSize="0" autoFill="0" autoLine="0" autoPict="0">
                <anchor moveWithCells="1">
                  <from>
                    <xdr:col>6</xdr:col>
                    <xdr:colOff>95250</xdr:colOff>
                    <xdr:row>25</xdr:row>
                    <xdr:rowOff>95250</xdr:rowOff>
                  </from>
                  <to>
                    <xdr:col>6</xdr:col>
                    <xdr:colOff>419100</xdr:colOff>
                    <xdr:row>25</xdr:row>
                    <xdr:rowOff>352425</xdr:rowOff>
                  </to>
                </anchor>
              </controlPr>
            </control>
          </mc:Choice>
        </mc:AlternateContent>
        <mc:AlternateContent xmlns:mc="http://schemas.openxmlformats.org/markup-compatibility/2006">
          <mc:Choice Requires="x14">
            <control shapeId="33841" r:id="rId25" name="Option Button 49">
              <controlPr defaultSize="0" autoFill="0" autoLine="0" autoPict="0">
                <anchor moveWithCells="1">
                  <from>
                    <xdr:col>6</xdr:col>
                    <xdr:colOff>95250</xdr:colOff>
                    <xdr:row>26</xdr:row>
                    <xdr:rowOff>161925</xdr:rowOff>
                  </from>
                  <to>
                    <xdr:col>6</xdr:col>
                    <xdr:colOff>438150</xdr:colOff>
                    <xdr:row>26</xdr:row>
                    <xdr:rowOff>400050</xdr:rowOff>
                  </to>
                </anchor>
              </controlPr>
            </control>
          </mc:Choice>
        </mc:AlternateContent>
        <mc:AlternateContent xmlns:mc="http://schemas.openxmlformats.org/markup-compatibility/2006">
          <mc:Choice Requires="x14">
            <control shapeId="33805" r:id="rId26" name="Group Box 13">
              <controlPr defaultSize="0" autoFill="0" autoPict="0">
                <anchor moveWithCells="1">
                  <from>
                    <xdr:col>6</xdr:col>
                    <xdr:colOff>0</xdr:colOff>
                    <xdr:row>12</xdr:row>
                    <xdr:rowOff>0</xdr:rowOff>
                  </from>
                  <to>
                    <xdr:col>7</xdr:col>
                    <xdr:colOff>38100</xdr:colOff>
                    <xdr:row>17</xdr:row>
                    <xdr:rowOff>0</xdr:rowOff>
                  </to>
                </anchor>
              </controlPr>
            </control>
          </mc:Choice>
        </mc:AlternateContent>
        <mc:AlternateContent xmlns:mc="http://schemas.openxmlformats.org/markup-compatibility/2006">
          <mc:Choice Requires="x14">
            <control shapeId="33811" r:id="rId27" name="Group Box 19">
              <controlPr defaultSize="0" autoFill="0" autoPict="0">
                <anchor moveWithCells="1">
                  <from>
                    <xdr:col>6</xdr:col>
                    <xdr:colOff>0</xdr:colOff>
                    <xdr:row>17</xdr:row>
                    <xdr:rowOff>0</xdr:rowOff>
                  </from>
                  <to>
                    <xdr:col>7</xdr:col>
                    <xdr:colOff>38100</xdr:colOff>
                    <xdr:row>22</xdr:row>
                    <xdr:rowOff>0</xdr:rowOff>
                  </to>
                </anchor>
              </controlPr>
            </control>
          </mc:Choice>
        </mc:AlternateContent>
        <mc:AlternateContent xmlns:mc="http://schemas.openxmlformats.org/markup-compatibility/2006">
          <mc:Choice Requires="x14">
            <control shapeId="33812" r:id="rId28" name="Option Button 20">
              <controlPr defaultSize="0" autoFill="0" autoLine="0" autoPict="0">
                <anchor moveWithCells="1">
                  <from>
                    <xdr:col>6</xdr:col>
                    <xdr:colOff>152400</xdr:colOff>
                    <xdr:row>17</xdr:row>
                    <xdr:rowOff>76200</xdr:rowOff>
                  </from>
                  <to>
                    <xdr:col>6</xdr:col>
                    <xdr:colOff>447675</xdr:colOff>
                    <xdr:row>17</xdr:row>
                    <xdr:rowOff>333375</xdr:rowOff>
                  </to>
                </anchor>
              </controlPr>
            </control>
          </mc:Choice>
        </mc:AlternateContent>
        <mc:AlternateContent xmlns:mc="http://schemas.openxmlformats.org/markup-compatibility/2006">
          <mc:Choice Requires="x14">
            <control shapeId="33813" r:id="rId29" name="Option Button 21">
              <controlPr defaultSize="0" autoFill="0" autoLine="0" autoPict="0">
                <anchor moveWithCells="1">
                  <from>
                    <xdr:col>6</xdr:col>
                    <xdr:colOff>161925</xdr:colOff>
                    <xdr:row>18</xdr:row>
                    <xdr:rowOff>104775</xdr:rowOff>
                  </from>
                  <to>
                    <xdr:col>6</xdr:col>
                    <xdr:colOff>447675</xdr:colOff>
                    <xdr:row>18</xdr:row>
                    <xdr:rowOff>390525</xdr:rowOff>
                  </to>
                </anchor>
              </controlPr>
            </control>
          </mc:Choice>
        </mc:AlternateContent>
        <mc:AlternateContent xmlns:mc="http://schemas.openxmlformats.org/markup-compatibility/2006">
          <mc:Choice Requires="x14">
            <control shapeId="33814" r:id="rId30" name="Option Button 22">
              <controlPr defaultSize="0" autoFill="0" autoLine="0" autoPict="0">
                <anchor moveWithCells="1">
                  <from>
                    <xdr:col>6</xdr:col>
                    <xdr:colOff>161925</xdr:colOff>
                    <xdr:row>19</xdr:row>
                    <xdr:rowOff>142875</xdr:rowOff>
                  </from>
                  <to>
                    <xdr:col>6</xdr:col>
                    <xdr:colOff>466725</xdr:colOff>
                    <xdr:row>19</xdr:row>
                    <xdr:rowOff>371475</xdr:rowOff>
                  </to>
                </anchor>
              </controlPr>
            </control>
          </mc:Choice>
        </mc:AlternateContent>
        <mc:AlternateContent xmlns:mc="http://schemas.openxmlformats.org/markup-compatibility/2006">
          <mc:Choice Requires="x14">
            <control shapeId="33815" r:id="rId31" name="Option Button 23">
              <controlPr defaultSize="0" autoFill="0" autoLine="0" autoPict="0">
                <anchor moveWithCells="1">
                  <from>
                    <xdr:col>6</xdr:col>
                    <xdr:colOff>161925</xdr:colOff>
                    <xdr:row>20</xdr:row>
                    <xdr:rowOff>152400</xdr:rowOff>
                  </from>
                  <to>
                    <xdr:col>6</xdr:col>
                    <xdr:colOff>466725</xdr:colOff>
                    <xdr:row>20</xdr:row>
                    <xdr:rowOff>371475</xdr:rowOff>
                  </to>
                </anchor>
              </controlPr>
            </control>
          </mc:Choice>
        </mc:AlternateContent>
        <mc:AlternateContent xmlns:mc="http://schemas.openxmlformats.org/markup-compatibility/2006">
          <mc:Choice Requires="x14">
            <control shapeId="33836" r:id="rId32" name="Option Button 44">
              <controlPr defaultSize="0" autoFill="0" autoLine="0" autoPict="0">
                <anchor moveWithCells="1">
                  <from>
                    <xdr:col>6</xdr:col>
                    <xdr:colOff>180975</xdr:colOff>
                    <xdr:row>21</xdr:row>
                    <xdr:rowOff>85725</xdr:rowOff>
                  </from>
                  <to>
                    <xdr:col>6</xdr:col>
                    <xdr:colOff>485775</xdr:colOff>
                    <xdr:row>21</xdr:row>
                    <xdr:rowOff>457200</xdr:rowOff>
                  </to>
                </anchor>
              </controlPr>
            </control>
          </mc:Choice>
        </mc:AlternateContent>
        <mc:AlternateContent xmlns:mc="http://schemas.openxmlformats.org/markup-compatibility/2006">
          <mc:Choice Requires="x14">
            <control shapeId="33842" r:id="rId33" name="Group Box 50">
              <controlPr defaultSize="0" autoFill="0" autoPict="0">
                <anchor moveWithCells="1">
                  <from>
                    <xdr:col>6</xdr:col>
                    <xdr:colOff>9525</xdr:colOff>
                    <xdr:row>21</xdr:row>
                    <xdr:rowOff>552450</xdr:rowOff>
                  </from>
                  <to>
                    <xdr:col>7</xdr:col>
                    <xdr:colOff>9525</xdr:colOff>
                    <xdr:row>26</xdr:row>
                    <xdr:rowOff>438150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20">
    <pageSetUpPr fitToPage="1"/>
  </sheetPr>
  <dimension ref="A1:AY28"/>
  <sheetViews>
    <sheetView zoomScale="90" zoomScaleNormal="90" workbookViewId="0">
      <pane ySplit="2" topLeftCell="A3" activePane="bottomLeft" state="frozen"/>
      <selection activeCell="F19" sqref="F19"/>
      <selection pane="bottomLeft"/>
    </sheetView>
  </sheetViews>
  <sheetFormatPr baseColWidth="10" defaultColWidth="11.42578125" defaultRowHeight="21.75" customHeight="1"/>
  <cols>
    <col min="1" max="1" width="4.42578125" style="9" customWidth="1"/>
    <col min="2" max="2" width="48.5703125" style="9" customWidth="1"/>
    <col min="3" max="3" width="9.42578125" style="62" customWidth="1"/>
    <col min="4" max="4" width="80.85546875" style="20" customWidth="1"/>
    <col min="5" max="5" width="19.85546875" style="20" bestFit="1" customWidth="1"/>
    <col min="6" max="6" width="12.42578125" style="3" customWidth="1"/>
    <col min="7" max="7" width="7.42578125" style="3" customWidth="1"/>
    <col min="8" max="8" width="12.42578125" style="3" customWidth="1"/>
    <col min="9" max="9" width="12.42578125" style="3" hidden="1" customWidth="1"/>
    <col min="10" max="10" width="37.5703125" style="7" hidden="1" customWidth="1"/>
    <col min="11" max="11" width="44.85546875" style="7" hidden="1" customWidth="1"/>
    <col min="12" max="12" width="41.85546875" style="3" customWidth="1"/>
    <col min="13" max="16384" width="11.42578125" style="3"/>
  </cols>
  <sheetData>
    <row r="1" spans="1:51" s="2" customFormat="1" ht="21.75" customHeight="1" thickBot="1">
      <c r="A1" s="381" t="s">
        <v>259</v>
      </c>
      <c r="B1" s="113" t="s">
        <v>260</v>
      </c>
      <c r="C1" s="63" t="s">
        <v>261</v>
      </c>
      <c r="D1" s="75"/>
      <c r="E1" s="75"/>
      <c r="F1" s="76"/>
      <c r="G1" s="218" t="s">
        <v>10</v>
      </c>
      <c r="H1" s="117">
        <f>'4_Nachweiserbringung'!F91</f>
        <v>0</v>
      </c>
      <c r="I1" s="64"/>
      <c r="J1" s="64"/>
      <c r="K1" s="64"/>
      <c r="L1" s="209"/>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1"/>
      <c r="AY1" s="1"/>
    </row>
    <row r="2" spans="1:51" s="4" customFormat="1" ht="66" customHeight="1">
      <c r="A2" s="380" t="s">
        <v>11</v>
      </c>
      <c r="B2" s="80" t="s">
        <v>12</v>
      </c>
      <c r="C2" s="81" t="s">
        <v>13</v>
      </c>
      <c r="D2" s="82" t="s">
        <v>14</v>
      </c>
      <c r="E2" s="82" t="s">
        <v>76</v>
      </c>
      <c r="F2" s="82" t="s">
        <v>16</v>
      </c>
      <c r="G2" s="81" t="s">
        <v>17</v>
      </c>
      <c r="H2" s="82" t="s">
        <v>77</v>
      </c>
      <c r="I2" s="83" t="s">
        <v>78</v>
      </c>
      <c r="J2" s="83" t="s">
        <v>19</v>
      </c>
      <c r="K2" s="83" t="s">
        <v>14</v>
      </c>
      <c r="L2" s="85" t="s">
        <v>20</v>
      </c>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row>
    <row r="3" spans="1:51" ht="33.75" customHeight="1">
      <c r="A3" s="221">
        <v>30</v>
      </c>
      <c r="B3" s="243" t="s">
        <v>262</v>
      </c>
      <c r="C3" s="66">
        <v>0</v>
      </c>
      <c r="D3" s="59" t="s">
        <v>22</v>
      </c>
      <c r="E3" s="315">
        <v>56</v>
      </c>
      <c r="F3" s="309">
        <v>0</v>
      </c>
      <c r="G3" s="29"/>
      <c r="H3" s="30"/>
      <c r="I3" s="208"/>
      <c r="J3" s="7">
        <v>1</v>
      </c>
      <c r="K3" s="87" t="s">
        <v>23</v>
      </c>
      <c r="L3" s="496" t="s">
        <v>263</v>
      </c>
    </row>
    <row r="4" spans="1:51" ht="33.75" customHeight="1">
      <c r="A4" s="223"/>
      <c r="B4" s="236" t="s">
        <v>264</v>
      </c>
      <c r="C4" s="66" t="s">
        <v>8</v>
      </c>
      <c r="D4" s="301" t="s">
        <v>401</v>
      </c>
      <c r="E4" s="316">
        <f>$E$3-($E$3/$F$7*F4)</f>
        <v>51.333333333333336</v>
      </c>
      <c r="F4" s="214">
        <f>F14/3</f>
        <v>3.7641666666666664E-2</v>
      </c>
      <c r="G4" s="6"/>
      <c r="H4" s="11"/>
      <c r="I4" s="208"/>
      <c r="L4" s="497"/>
    </row>
    <row r="5" spans="1:51" ht="33.75" customHeight="1">
      <c r="A5" s="223"/>
      <c r="B5" s="530" t="s">
        <v>265</v>
      </c>
      <c r="C5" s="66" t="s">
        <v>28</v>
      </c>
      <c r="D5" s="112" t="s">
        <v>402</v>
      </c>
      <c r="E5" s="316">
        <f t="shared" ref="E5:E7" si="0">$E$3-($E$3/$F$7*F5)</f>
        <v>46.666666666666671</v>
      </c>
      <c r="F5" s="214">
        <f>F15/3</f>
        <v>7.5283333333333327E-2</v>
      </c>
      <c r="G5" s="6"/>
      <c r="H5" s="11"/>
      <c r="I5" s="208"/>
      <c r="J5" s="7">
        <f>Variable8+Variable11+Variable15+Variable18</f>
        <v>0</v>
      </c>
      <c r="K5" s="7" t="s">
        <v>266</v>
      </c>
      <c r="L5" s="497"/>
    </row>
    <row r="6" spans="1:51" ht="33.75" customHeight="1">
      <c r="A6" s="223"/>
      <c r="B6" s="520"/>
      <c r="C6" s="66" t="s">
        <v>31</v>
      </c>
      <c r="D6" s="112" t="s">
        <v>403</v>
      </c>
      <c r="E6" s="316">
        <f t="shared" si="0"/>
        <v>42</v>
      </c>
      <c r="F6" s="214">
        <f>F16/3</f>
        <v>0.112925</v>
      </c>
      <c r="G6" s="6"/>
      <c r="H6" s="11"/>
      <c r="I6" s="208"/>
      <c r="J6" s="302">
        <f>Var28_real-Variable28+B_TOT_real+A_TOT_real-A_TOT</f>
        <v>0</v>
      </c>
      <c r="K6" s="7" t="s">
        <v>267</v>
      </c>
      <c r="L6" s="497"/>
    </row>
    <row r="7" spans="1:51" ht="33.75" customHeight="1">
      <c r="A7" s="225"/>
      <c r="B7" s="531"/>
      <c r="C7" s="67" t="s">
        <v>33</v>
      </c>
      <c r="D7" s="61" t="s">
        <v>268</v>
      </c>
      <c r="E7" s="318">
        <f t="shared" si="0"/>
        <v>0</v>
      </c>
      <c r="F7" s="215">
        <v>0.45169999999999999</v>
      </c>
      <c r="G7" s="15"/>
      <c r="H7" s="16">
        <f>IF(IF(J3=1,F3,(IF(J3=2,F4,IF(J3=3,F5,IF(J3=4,F6,IF(J3=5,F7,""))))))&gt;0,IF(J3=1,F3,(IF(J3=2,F4,IF(J3=3,F5,IF(J3=4,F6,IF(J3=5,F7,"")))))),0)</f>
        <v>0</v>
      </c>
      <c r="I7" s="311">
        <f>56-IF(J3=1,E3,IF(J3=2,E4,IF(J3=3,E5,IF(J3=4,E6,IF(J3=5,E7,"")))))</f>
        <v>0</v>
      </c>
      <c r="J7" s="88">
        <f>IF(J3=1,F3,(IF(J3=2,F4,IF(J3=3,F5,IF(J3=4,F6,IF(J3=5,F7,""))))))</f>
        <v>0</v>
      </c>
      <c r="K7" s="7" t="s">
        <v>35</v>
      </c>
      <c r="L7" s="498"/>
    </row>
    <row r="8" spans="1:51" s="8" customFormat="1" ht="45.75" customHeight="1">
      <c r="A8" s="89">
        <v>31</v>
      </c>
      <c r="B8" s="99" t="s">
        <v>269</v>
      </c>
      <c r="C8" s="68">
        <v>0</v>
      </c>
      <c r="D8" s="18" t="s">
        <v>22</v>
      </c>
      <c r="E8" s="325">
        <v>56</v>
      </c>
      <c r="F8" s="90">
        <v>0</v>
      </c>
      <c r="H8" s="19"/>
      <c r="I8" s="312"/>
      <c r="J8" s="87">
        <v>1</v>
      </c>
      <c r="K8" s="87" t="s">
        <v>23</v>
      </c>
      <c r="L8" s="532" t="s">
        <v>270</v>
      </c>
    </row>
    <row r="9" spans="1:51" ht="30.75" customHeight="1">
      <c r="A9" s="72"/>
      <c r="B9" s="107" t="s">
        <v>271</v>
      </c>
      <c r="C9" s="69" t="s">
        <v>8</v>
      </c>
      <c r="D9" s="18" t="s">
        <v>404</v>
      </c>
      <c r="E9" s="321">
        <f>$E$3-($E$3/$F$12*F9)</f>
        <v>51.333333333333336</v>
      </c>
      <c r="F9" s="216">
        <f>F19/3</f>
        <v>4.7633333333333333E-2</v>
      </c>
      <c r="H9" s="21"/>
      <c r="I9" s="208"/>
      <c r="J9" s="7">
        <f>IF(Variable18+H17+H22&gt;0,0,(SUM(A_TOT,B_TOT,D_TOT)))</f>
        <v>0</v>
      </c>
      <c r="K9" s="7" t="s">
        <v>272</v>
      </c>
      <c r="L9" s="533"/>
    </row>
    <row r="10" spans="1:51" ht="30.75" customHeight="1">
      <c r="A10" s="72"/>
      <c r="B10" s="521" t="s">
        <v>273</v>
      </c>
      <c r="C10" s="69" t="s">
        <v>28</v>
      </c>
      <c r="D10" s="323" t="s">
        <v>405</v>
      </c>
      <c r="E10" s="321">
        <f t="shared" ref="E10:E12" si="1">$E$3-($E$3/$F$12*F10)</f>
        <v>46.666666666666671</v>
      </c>
      <c r="F10" s="216">
        <f>F20/3</f>
        <v>9.5266666666666666E-2</v>
      </c>
      <c r="H10" s="21"/>
      <c r="I10" s="208"/>
      <c r="J10" s="7">
        <f>SUM(Variable8+Variable11+Variable15+Variable18)</f>
        <v>0</v>
      </c>
      <c r="K10" s="7" t="s">
        <v>266</v>
      </c>
      <c r="L10" s="533"/>
    </row>
    <row r="11" spans="1:51" ht="30.75" customHeight="1">
      <c r="A11" s="72"/>
      <c r="B11" s="514"/>
      <c r="C11" s="69" t="s">
        <v>31</v>
      </c>
      <c r="D11" s="319" t="s">
        <v>406</v>
      </c>
      <c r="E11" s="321">
        <f t="shared" si="1"/>
        <v>42</v>
      </c>
      <c r="F11" s="213">
        <f>F9*3</f>
        <v>0.1429</v>
      </c>
      <c r="H11" s="21"/>
      <c r="I11" s="208"/>
      <c r="K11" s="210" t="s">
        <v>274</v>
      </c>
      <c r="L11" s="533"/>
    </row>
    <row r="12" spans="1:51" ht="33.75" customHeight="1">
      <c r="A12" s="73"/>
      <c r="B12" s="526"/>
      <c r="C12" s="70" t="s">
        <v>33</v>
      </c>
      <c r="D12" s="324" t="s">
        <v>275</v>
      </c>
      <c r="E12" s="322">
        <f t="shared" si="1"/>
        <v>0</v>
      </c>
      <c r="F12" s="24">
        <v>0.57160000000000011</v>
      </c>
      <c r="G12" s="25"/>
      <c r="H12" s="26">
        <f>IF(IF(IF(J8=1,F8,(IF(J8=2,F9,IF(J8=3,F10,IF(J8=4,F11,IF(J8=5,F12,""))))))&gt;0,IF(J8=1,F8,(IF(J8=2,F9,IF(J8=3,F10,IF(J8=4,F11,IF(J8=5,F12,"")))))),0)&gt;0,IF(IF(J8=1,F8,(IF(J8=2,F9,IF(J8=3,F10,IF(J8=4,F11,IF(J8=5,F12,""))))))&gt;0,IF(J8=1,F8,(IF(J8=2,F9,IF(J8=3,F10,IF(J8=4,F11,IF(J8=5,F12,"")))))),0),0)</f>
        <v>0</v>
      </c>
      <c r="I12" s="311">
        <f>56-IF(J8=1,E8,IF(J8=2,E9,IF(J8=3,E10,IF(J8=4,E11,IF(J8=5,E12,"")))))</f>
        <v>0</v>
      </c>
      <c r="J12" s="88">
        <f>IF(J8=1,E8,(IF(J8=2,E9,IF(J8=3,E10,IF(J8=4,E11,IF(J8=5,E12,""))))))</f>
        <v>56</v>
      </c>
      <c r="K12" s="7" t="s">
        <v>35</v>
      </c>
      <c r="L12" s="534"/>
    </row>
    <row r="13" spans="1:51" ht="30" customHeight="1">
      <c r="A13" s="221">
        <v>32</v>
      </c>
      <c r="B13" s="222" t="s">
        <v>276</v>
      </c>
      <c r="C13" s="65">
        <v>0</v>
      </c>
      <c r="D13" s="59" t="s">
        <v>22</v>
      </c>
      <c r="E13" s="315">
        <v>56</v>
      </c>
      <c r="F13" s="28">
        <v>0</v>
      </c>
      <c r="G13" s="29"/>
      <c r="H13" s="30"/>
      <c r="I13" s="208"/>
      <c r="J13" s="7">
        <v>1</v>
      </c>
      <c r="K13" s="87" t="s">
        <v>23</v>
      </c>
      <c r="L13" s="496" t="s">
        <v>277</v>
      </c>
    </row>
    <row r="14" spans="1:51" ht="35.25" customHeight="1">
      <c r="A14" s="223"/>
      <c r="B14" s="236" t="s">
        <v>264</v>
      </c>
      <c r="C14" s="66" t="s">
        <v>8</v>
      </c>
      <c r="D14" s="112" t="s">
        <v>407</v>
      </c>
      <c r="E14" s="316">
        <f>$E$3-($E$3/$F$17*F14)</f>
        <v>42</v>
      </c>
      <c r="F14" s="31">
        <f>F17*0.25</f>
        <v>0.112925</v>
      </c>
      <c r="G14" s="6"/>
      <c r="H14" s="11"/>
      <c r="I14" s="208"/>
      <c r="J14" s="7">
        <f>IF(Variable11+Variable18+H22&gt;0,0,(SUM(A_TOT,B_TOT,D_TOT)))</f>
        <v>0</v>
      </c>
      <c r="K14" s="7" t="s">
        <v>272</v>
      </c>
      <c r="L14" s="497"/>
    </row>
    <row r="15" spans="1:51" ht="35.25" customHeight="1">
      <c r="A15" s="223"/>
      <c r="B15" s="517" t="s">
        <v>273</v>
      </c>
      <c r="C15" s="66" t="s">
        <v>28</v>
      </c>
      <c r="D15" s="112" t="s">
        <v>408</v>
      </c>
      <c r="E15" s="316">
        <f t="shared" ref="E15:E17" si="2">$E$3-($E$3/$F$17*F15)</f>
        <v>28</v>
      </c>
      <c r="F15" s="31">
        <f>F17*0.5</f>
        <v>0.22585</v>
      </c>
      <c r="G15" s="6"/>
      <c r="H15" s="11"/>
      <c r="I15" s="208"/>
      <c r="J15" s="7">
        <f>SUM(Variable8+Variable11+Variable15+Variable18)</f>
        <v>0</v>
      </c>
      <c r="K15" s="7" t="s">
        <v>266</v>
      </c>
      <c r="L15" s="497"/>
    </row>
    <row r="16" spans="1:51" ht="35.25" customHeight="1">
      <c r="A16" s="223"/>
      <c r="B16" s="518"/>
      <c r="C16" s="66" t="s">
        <v>31</v>
      </c>
      <c r="D16" s="112" t="s">
        <v>409</v>
      </c>
      <c r="E16" s="316">
        <f t="shared" si="2"/>
        <v>14</v>
      </c>
      <c r="F16" s="31">
        <f>F17*0.75</f>
        <v>0.33877499999999999</v>
      </c>
      <c r="G16" s="6"/>
      <c r="H16" s="11"/>
      <c r="I16" s="208"/>
      <c r="L16" s="497"/>
    </row>
    <row r="17" spans="1:12" ht="35.25" customHeight="1">
      <c r="A17" s="225"/>
      <c r="B17" s="535"/>
      <c r="C17" s="67" t="s">
        <v>33</v>
      </c>
      <c r="D17" s="61" t="s">
        <v>278</v>
      </c>
      <c r="E17" s="318">
        <f t="shared" si="2"/>
        <v>0</v>
      </c>
      <c r="F17" s="32">
        <v>0.45169999999999999</v>
      </c>
      <c r="G17" s="15"/>
      <c r="H17" s="16">
        <f>IF(IF(IF(J13=1,F13,(IF(J13=2,F14,IF(J13=3,F15,IF(J13=4,F16,IF(J13=5,F17,""))))))&gt;0,IF(J13=1,F13,(IF(J13=2,F14,IF(J13=3,F15,IF(J13=4,F16,IF(J13=5,F17,"")))))),0)&gt;0,IF(IF(J13=1,F13,(IF(J13=2,F14,IF(J13=3,F15,IF(J13=4,F16,IF(J13=5,F17,""))))))&gt;0,IF(J13=1,F13,(IF(J13=2,F14,IF(J13=3,F15,IF(J13=4,F16,IF(J13=5,F17,"")))))),0),0)</f>
        <v>0</v>
      </c>
      <c r="I17" s="311">
        <f>56-IF(J13=1,E13,IF(J13=2,E14,IF(J13=3,E15,IF(J13=4,E16,IF(J13=5,E17,"")))))</f>
        <v>0</v>
      </c>
      <c r="J17" s="88">
        <f>IF(J13=1,E13,(IF(J13=2,E14,IF(J13=3,E15,IF(J13=4,E16,IF(J13=5,E17,""))))))</f>
        <v>56</v>
      </c>
      <c r="K17" s="7" t="s">
        <v>35</v>
      </c>
      <c r="L17" s="498"/>
    </row>
    <row r="18" spans="1:12" ht="39" customHeight="1">
      <c r="A18" s="72">
        <v>33</v>
      </c>
      <c r="B18" s="100" t="s">
        <v>279</v>
      </c>
      <c r="C18" s="71">
        <v>0</v>
      </c>
      <c r="D18" s="20" t="s">
        <v>22</v>
      </c>
      <c r="E18" s="320">
        <v>56</v>
      </c>
      <c r="F18" s="93">
        <v>0</v>
      </c>
      <c r="H18" s="21"/>
      <c r="I18" s="208"/>
      <c r="J18" s="7">
        <v>1</v>
      </c>
      <c r="K18" s="87" t="s">
        <v>23</v>
      </c>
      <c r="L18" s="527" t="s">
        <v>280</v>
      </c>
    </row>
    <row r="19" spans="1:12" ht="36" customHeight="1">
      <c r="A19" s="72"/>
      <c r="B19" s="317" t="s">
        <v>281</v>
      </c>
      <c r="C19" s="69" t="s">
        <v>8</v>
      </c>
      <c r="D19" s="319" t="s">
        <v>410</v>
      </c>
      <c r="E19" s="321">
        <f>$E$3-($E$3/$F$22*F19)</f>
        <v>42</v>
      </c>
      <c r="F19" s="93">
        <f>F22*0.25</f>
        <v>0.1429</v>
      </c>
      <c r="H19" s="21"/>
      <c r="I19" s="208"/>
      <c r="J19" s="7">
        <f>IF(Variable18&gt;0,0,(SUM(A_TOT,B_TOT,D_TOT)))</f>
        <v>0</v>
      </c>
      <c r="K19" s="7" t="s">
        <v>272</v>
      </c>
      <c r="L19" s="528"/>
    </row>
    <row r="20" spans="1:12" ht="36" customHeight="1">
      <c r="A20" s="72"/>
      <c r="B20" s="521" t="s">
        <v>273</v>
      </c>
      <c r="C20" s="69" t="s">
        <v>28</v>
      </c>
      <c r="D20" s="319" t="s">
        <v>411</v>
      </c>
      <c r="E20" s="321">
        <f t="shared" ref="E20:E22" si="3">$E$3-($E$3/$F$22*F20)</f>
        <v>27.999999999999996</v>
      </c>
      <c r="F20" s="93">
        <f>F22*0.5</f>
        <v>0.2858</v>
      </c>
      <c r="H20" s="21"/>
      <c r="I20" s="208"/>
      <c r="J20" s="7">
        <f>SUM(Variable8+Variable11+Variable15+Variable18)</f>
        <v>0</v>
      </c>
      <c r="K20" s="7" t="s">
        <v>266</v>
      </c>
      <c r="L20" s="528"/>
    </row>
    <row r="21" spans="1:12" ht="36" customHeight="1">
      <c r="A21" s="72"/>
      <c r="B21" s="514"/>
      <c r="C21" s="69" t="s">
        <v>31</v>
      </c>
      <c r="D21" s="319" t="s">
        <v>412</v>
      </c>
      <c r="E21" s="321">
        <f t="shared" si="3"/>
        <v>14</v>
      </c>
      <c r="F21" s="93">
        <f>F22*0.75</f>
        <v>0.42869999999999997</v>
      </c>
      <c r="H21" s="21"/>
      <c r="I21" s="313"/>
      <c r="J21" s="308">
        <f>IF(OR(J3&gt;1,J13&gt;1),0.4517,0.5716)</f>
        <v>0.5716</v>
      </c>
      <c r="K21" s="308" t="s">
        <v>162</v>
      </c>
      <c r="L21" s="528"/>
    </row>
    <row r="22" spans="1:12" ht="36" customHeight="1">
      <c r="A22" s="73"/>
      <c r="B22" s="526"/>
      <c r="C22" s="70" t="s">
        <v>33</v>
      </c>
      <c r="D22" s="22" t="s">
        <v>282</v>
      </c>
      <c r="E22" s="322">
        <f t="shared" si="3"/>
        <v>0</v>
      </c>
      <c r="F22" s="24">
        <v>0.5716</v>
      </c>
      <c r="G22" s="25"/>
      <c r="H22" s="26">
        <f>IF(IF(IF(J18=1,F18,(IF(J18=2,F19,IF(J18=3,F20,IF(J18=4,F21,IF(J18=5,F22,""))))))&gt;0,IF(J18=1,F18,(IF(J18=2,F19,IF(J18=3,F20,IF(J18=4,F21,IF(J18=5,F22,"")))))),0)&gt;0,IF(IF(J18=1,F18,(IF(J18=2,F19,IF(J18=3,F20,IF(J18=4,F21,IF(J18=5,F22,""))))))&gt;0,IF(J18=1,F18,(IF(J18=2,F19,IF(J18=3,F20,IF(J18=4,F21,IF(J18=5,F22,"")))))),0),0)</f>
        <v>0</v>
      </c>
      <c r="I22" s="311">
        <f>56-IF(J18=1,E18,IF(J18=2,E19,IF(J18=3,E20,IF(J18=4,E21,IF(J18=5,E22,"")))))</f>
        <v>0</v>
      </c>
      <c r="J22" s="88">
        <f>IF(J18=1,E18,(IF(J18=2,E19,IF(J18=3,E20,IF(J18=4,E21,IF(J18=5,E22,""))))))</f>
        <v>56</v>
      </c>
      <c r="K22" s="7" t="s">
        <v>35</v>
      </c>
      <c r="L22" s="529"/>
    </row>
    <row r="23" spans="1:12" ht="43.5">
      <c r="H23" s="78">
        <f>SUM(H22,H7,H12,H17,)</f>
        <v>0</v>
      </c>
      <c r="I23" s="313">
        <f>SUM(I22,I17,I12,I7)/56</f>
        <v>0</v>
      </c>
      <c r="J23" s="308" t="s">
        <v>283</v>
      </c>
      <c r="L23" s="8" t="s">
        <v>284</v>
      </c>
    </row>
    <row r="27" spans="1:12" ht="21.75" customHeight="1">
      <c r="B27" s="206"/>
    </row>
    <row r="28" spans="1:12" ht="21.75" customHeight="1">
      <c r="B28" s="206"/>
    </row>
  </sheetData>
  <mergeCells count="8">
    <mergeCell ref="B20:B22"/>
    <mergeCell ref="L18:L22"/>
    <mergeCell ref="L3:L7"/>
    <mergeCell ref="B5:B7"/>
    <mergeCell ref="B10:B12"/>
    <mergeCell ref="L8:L12"/>
    <mergeCell ref="L13:L17"/>
    <mergeCell ref="B15:B17"/>
  </mergeCells>
  <conditionalFormatting sqref="A13:H22 L13:XFD22">
    <cfRule type="expression" dxfId="204" priority="23">
      <formula>$J$8&gt;1</formula>
    </cfRule>
  </conditionalFormatting>
  <conditionalFormatting sqref="A18:H22 L18:XFD22">
    <cfRule type="expression" dxfId="203" priority="22">
      <formula>$J$13&gt;1</formula>
    </cfRule>
  </conditionalFormatting>
  <conditionalFormatting sqref="A3:XFD7 I13:K20 I22:K22">
    <cfRule type="expression" dxfId="202" priority="8">
      <formula>$J$8&gt;1</formula>
    </cfRule>
  </conditionalFormatting>
  <conditionalFormatting sqref="A3:XFD12 I18:K20 I22:K22">
    <cfRule type="expression" dxfId="201" priority="7">
      <formula>$J$13&gt;1</formula>
    </cfRule>
  </conditionalFormatting>
  <conditionalFormatting sqref="A3:XFD17">
    <cfRule type="expression" dxfId="200" priority="6">
      <formula>$J$18&gt;1</formula>
    </cfRule>
  </conditionalFormatting>
  <conditionalFormatting sqref="B14">
    <cfRule type="expression" dxfId="199" priority="1">
      <formula>$J$13&gt;1</formula>
    </cfRule>
  </conditionalFormatting>
  <conditionalFormatting sqref="E8:E12">
    <cfRule type="expression" dxfId="198" priority="20">
      <formula>$J$8&gt;1</formula>
    </cfRule>
  </conditionalFormatting>
  <conditionalFormatting sqref="E13:E17">
    <cfRule type="expression" dxfId="197" priority="19">
      <formula>$J$13&gt;1</formula>
    </cfRule>
  </conditionalFormatting>
  <conditionalFormatting sqref="E18:E22">
    <cfRule type="expression" dxfId="196" priority="18">
      <formula>$J$18&gt;1</formula>
    </cfRule>
  </conditionalFormatting>
  <conditionalFormatting sqref="I8:I20 I22:K22">
    <cfRule type="expression" dxfId="195" priority="9">
      <formula>$J$3&gt;1</formula>
    </cfRule>
  </conditionalFormatting>
  <conditionalFormatting sqref="J8:XFD13 A8:H22 J14:K20 L14:XFD22">
    <cfRule type="expression" dxfId="194" priority="25">
      <formula>$J$3&gt;1</formula>
    </cfRule>
  </conditionalFormatting>
  <pageMargins left="0.7" right="0.7" top="0.78740157499999996" bottom="0.78740157499999996" header="0.3" footer="0.3"/>
  <pageSetup paperSize="9" scale="57" fitToHeight="2" orientation="landscape" horizontalDpi="300" r:id="rId1"/>
  <drawing r:id="rId2"/>
  <legacyDrawing r:id="rId3"/>
  <mc:AlternateContent xmlns:mc="http://schemas.openxmlformats.org/markup-compatibility/2006">
    <mc:Choice Requires="x14">
      <controls>
        <mc:AlternateContent xmlns:mc="http://schemas.openxmlformats.org/markup-compatibility/2006">
          <mc:Choice Requires="x14">
            <control shapeId="47105" r:id="rId4" name="Group Box 1">
              <controlPr defaultSize="0" autoFill="0" autoPict="0">
                <anchor moveWithCells="1">
                  <from>
                    <xdr:col>6</xdr:col>
                    <xdr:colOff>0</xdr:colOff>
                    <xdr:row>2</xdr:row>
                    <xdr:rowOff>9525</xdr:rowOff>
                  </from>
                  <to>
                    <xdr:col>7</xdr:col>
                    <xdr:colOff>38100</xdr:colOff>
                    <xdr:row>7</xdr:row>
                    <xdr:rowOff>9525</xdr:rowOff>
                  </to>
                </anchor>
              </controlPr>
            </control>
          </mc:Choice>
        </mc:AlternateContent>
        <mc:AlternateContent xmlns:mc="http://schemas.openxmlformats.org/markup-compatibility/2006">
          <mc:Choice Requires="x14">
            <control shapeId="47106" r:id="rId5" name="Option Button 2">
              <controlPr defaultSize="0" autoFill="0" autoLine="0" autoPict="0">
                <anchor moveWithCells="1">
                  <from>
                    <xdr:col>6</xdr:col>
                    <xdr:colOff>152400</xdr:colOff>
                    <xdr:row>2</xdr:row>
                    <xdr:rowOff>38100</xdr:rowOff>
                  </from>
                  <to>
                    <xdr:col>6</xdr:col>
                    <xdr:colOff>457200</xdr:colOff>
                    <xdr:row>2</xdr:row>
                    <xdr:rowOff>295275</xdr:rowOff>
                  </to>
                </anchor>
              </controlPr>
            </control>
          </mc:Choice>
        </mc:AlternateContent>
        <mc:AlternateContent xmlns:mc="http://schemas.openxmlformats.org/markup-compatibility/2006">
          <mc:Choice Requires="x14">
            <control shapeId="47107" r:id="rId6" name="Option Button 3">
              <controlPr defaultSize="0" autoFill="0" autoLine="0" autoPict="0">
                <anchor moveWithCells="1">
                  <from>
                    <xdr:col>6</xdr:col>
                    <xdr:colOff>152400</xdr:colOff>
                    <xdr:row>3</xdr:row>
                    <xdr:rowOff>28575</xdr:rowOff>
                  </from>
                  <to>
                    <xdr:col>7</xdr:col>
                    <xdr:colOff>0</xdr:colOff>
                    <xdr:row>3</xdr:row>
                    <xdr:rowOff>257175</xdr:rowOff>
                  </to>
                </anchor>
              </controlPr>
            </control>
          </mc:Choice>
        </mc:AlternateContent>
        <mc:AlternateContent xmlns:mc="http://schemas.openxmlformats.org/markup-compatibility/2006">
          <mc:Choice Requires="x14">
            <control shapeId="47108" r:id="rId7" name="Option Button 4">
              <controlPr defaultSize="0" autoFill="0" autoLine="0" autoPict="0">
                <anchor moveWithCells="1">
                  <from>
                    <xdr:col>6</xdr:col>
                    <xdr:colOff>152400</xdr:colOff>
                    <xdr:row>4</xdr:row>
                    <xdr:rowOff>38100</xdr:rowOff>
                  </from>
                  <to>
                    <xdr:col>6</xdr:col>
                    <xdr:colOff>390525</xdr:colOff>
                    <xdr:row>4</xdr:row>
                    <xdr:rowOff>257175</xdr:rowOff>
                  </to>
                </anchor>
              </controlPr>
            </control>
          </mc:Choice>
        </mc:AlternateContent>
        <mc:AlternateContent xmlns:mc="http://schemas.openxmlformats.org/markup-compatibility/2006">
          <mc:Choice Requires="x14">
            <control shapeId="47109" r:id="rId8" name="Option Button 5">
              <controlPr defaultSize="0" autoFill="0" autoLine="0" autoPict="0">
                <anchor moveWithCells="1">
                  <from>
                    <xdr:col>6</xdr:col>
                    <xdr:colOff>152400</xdr:colOff>
                    <xdr:row>5</xdr:row>
                    <xdr:rowOff>28575</xdr:rowOff>
                  </from>
                  <to>
                    <xdr:col>7</xdr:col>
                    <xdr:colOff>28575</xdr:colOff>
                    <xdr:row>5</xdr:row>
                    <xdr:rowOff>257175</xdr:rowOff>
                  </to>
                </anchor>
              </controlPr>
            </control>
          </mc:Choice>
        </mc:AlternateContent>
        <mc:AlternateContent xmlns:mc="http://schemas.openxmlformats.org/markup-compatibility/2006">
          <mc:Choice Requires="x14">
            <control shapeId="47110" r:id="rId9" name="Option Button 6">
              <controlPr defaultSize="0" autoFill="0" autoLine="0" autoPict="0">
                <anchor moveWithCells="1">
                  <from>
                    <xdr:col>6</xdr:col>
                    <xdr:colOff>152400</xdr:colOff>
                    <xdr:row>6</xdr:row>
                    <xdr:rowOff>9525</xdr:rowOff>
                  </from>
                  <to>
                    <xdr:col>6</xdr:col>
                    <xdr:colOff>381000</xdr:colOff>
                    <xdr:row>6</xdr:row>
                    <xdr:rowOff>238125</xdr:rowOff>
                  </to>
                </anchor>
              </controlPr>
            </control>
          </mc:Choice>
        </mc:AlternateContent>
        <mc:AlternateContent xmlns:mc="http://schemas.openxmlformats.org/markup-compatibility/2006">
          <mc:Choice Requires="x14">
            <control shapeId="47111" r:id="rId10" name="Group Box 7">
              <controlPr defaultSize="0" autoFill="0" autoPict="0">
                <anchor moveWithCells="1">
                  <from>
                    <xdr:col>6</xdr:col>
                    <xdr:colOff>0</xdr:colOff>
                    <xdr:row>7</xdr:row>
                    <xdr:rowOff>0</xdr:rowOff>
                  </from>
                  <to>
                    <xdr:col>7</xdr:col>
                    <xdr:colOff>38100</xdr:colOff>
                    <xdr:row>11</xdr:row>
                    <xdr:rowOff>381000</xdr:rowOff>
                  </to>
                </anchor>
              </controlPr>
            </control>
          </mc:Choice>
        </mc:AlternateContent>
        <mc:AlternateContent xmlns:mc="http://schemas.openxmlformats.org/markup-compatibility/2006">
          <mc:Choice Requires="x14">
            <control shapeId="47112" r:id="rId11" name="Option Button 8">
              <controlPr defaultSize="0" autoFill="0" autoLine="0" autoPict="0">
                <anchor moveWithCells="1">
                  <from>
                    <xdr:col>6</xdr:col>
                    <xdr:colOff>152400</xdr:colOff>
                    <xdr:row>7</xdr:row>
                    <xdr:rowOff>104775</xdr:rowOff>
                  </from>
                  <to>
                    <xdr:col>6</xdr:col>
                    <xdr:colOff>447675</xdr:colOff>
                    <xdr:row>7</xdr:row>
                    <xdr:rowOff>352425</xdr:rowOff>
                  </to>
                </anchor>
              </controlPr>
            </control>
          </mc:Choice>
        </mc:AlternateContent>
        <mc:AlternateContent xmlns:mc="http://schemas.openxmlformats.org/markup-compatibility/2006">
          <mc:Choice Requires="x14">
            <control shapeId="47113" r:id="rId12" name="Option Button 9">
              <controlPr defaultSize="0" autoFill="0" autoLine="0" autoPict="0">
                <anchor moveWithCells="1">
                  <from>
                    <xdr:col>6</xdr:col>
                    <xdr:colOff>152400</xdr:colOff>
                    <xdr:row>8</xdr:row>
                    <xdr:rowOff>28575</xdr:rowOff>
                  </from>
                  <to>
                    <xdr:col>6</xdr:col>
                    <xdr:colOff>447675</xdr:colOff>
                    <xdr:row>8</xdr:row>
                    <xdr:rowOff>266700</xdr:rowOff>
                  </to>
                </anchor>
              </controlPr>
            </control>
          </mc:Choice>
        </mc:AlternateContent>
        <mc:AlternateContent xmlns:mc="http://schemas.openxmlformats.org/markup-compatibility/2006">
          <mc:Choice Requires="x14">
            <control shapeId="47114" r:id="rId13" name="Option Button 10">
              <controlPr defaultSize="0" autoFill="0" autoLine="0" autoPict="0">
                <anchor moveWithCells="1">
                  <from>
                    <xdr:col>6</xdr:col>
                    <xdr:colOff>152400</xdr:colOff>
                    <xdr:row>9</xdr:row>
                    <xdr:rowOff>28575</xdr:rowOff>
                  </from>
                  <to>
                    <xdr:col>6</xdr:col>
                    <xdr:colOff>371475</xdr:colOff>
                    <xdr:row>9</xdr:row>
                    <xdr:rowOff>295275</xdr:rowOff>
                  </to>
                </anchor>
              </controlPr>
            </control>
          </mc:Choice>
        </mc:AlternateContent>
        <mc:AlternateContent xmlns:mc="http://schemas.openxmlformats.org/markup-compatibility/2006">
          <mc:Choice Requires="x14">
            <control shapeId="47115" r:id="rId14" name="Option Button 11">
              <controlPr defaultSize="0" autoFill="0" autoLine="0" autoPict="0">
                <anchor moveWithCells="1">
                  <from>
                    <xdr:col>6</xdr:col>
                    <xdr:colOff>152400</xdr:colOff>
                    <xdr:row>10</xdr:row>
                    <xdr:rowOff>0</xdr:rowOff>
                  </from>
                  <to>
                    <xdr:col>6</xdr:col>
                    <xdr:colOff>390525</xdr:colOff>
                    <xdr:row>10</xdr:row>
                    <xdr:rowOff>295275</xdr:rowOff>
                  </to>
                </anchor>
              </controlPr>
            </control>
          </mc:Choice>
        </mc:AlternateContent>
        <mc:AlternateContent xmlns:mc="http://schemas.openxmlformats.org/markup-compatibility/2006">
          <mc:Choice Requires="x14">
            <control shapeId="47116" r:id="rId15" name="Group Box 12">
              <controlPr defaultSize="0" autoFill="0" autoPict="0">
                <anchor moveWithCells="1">
                  <from>
                    <xdr:col>6</xdr:col>
                    <xdr:colOff>0</xdr:colOff>
                    <xdr:row>12</xdr:row>
                    <xdr:rowOff>0</xdr:rowOff>
                  </from>
                  <to>
                    <xdr:col>7</xdr:col>
                    <xdr:colOff>38100</xdr:colOff>
                    <xdr:row>16</xdr:row>
                    <xdr:rowOff>419100</xdr:rowOff>
                  </to>
                </anchor>
              </controlPr>
            </control>
          </mc:Choice>
        </mc:AlternateContent>
        <mc:AlternateContent xmlns:mc="http://schemas.openxmlformats.org/markup-compatibility/2006">
          <mc:Choice Requires="x14">
            <control shapeId="47128" r:id="rId16" name="Option Button 24">
              <controlPr defaultSize="0" autoFill="0" autoLine="0" autoPict="0">
                <anchor moveWithCells="1">
                  <from>
                    <xdr:col>6</xdr:col>
                    <xdr:colOff>152400</xdr:colOff>
                    <xdr:row>11</xdr:row>
                    <xdr:rowOff>66675</xdr:rowOff>
                  </from>
                  <to>
                    <xdr:col>6</xdr:col>
                    <xdr:colOff>457200</xdr:colOff>
                    <xdr:row>11</xdr:row>
                    <xdr:rowOff>276225</xdr:rowOff>
                  </to>
                </anchor>
              </controlPr>
            </control>
          </mc:Choice>
        </mc:AlternateContent>
        <mc:AlternateContent xmlns:mc="http://schemas.openxmlformats.org/markup-compatibility/2006">
          <mc:Choice Requires="x14">
            <control shapeId="47136" r:id="rId17" name="Option Button 32">
              <controlPr defaultSize="0" autoFill="0" autoLine="0" autoPict="0">
                <anchor moveWithCells="1">
                  <from>
                    <xdr:col>6</xdr:col>
                    <xdr:colOff>142875</xdr:colOff>
                    <xdr:row>12</xdr:row>
                    <xdr:rowOff>114300</xdr:rowOff>
                  </from>
                  <to>
                    <xdr:col>6</xdr:col>
                    <xdr:colOff>447675</xdr:colOff>
                    <xdr:row>12</xdr:row>
                    <xdr:rowOff>333375</xdr:rowOff>
                  </to>
                </anchor>
              </controlPr>
            </control>
          </mc:Choice>
        </mc:AlternateContent>
        <mc:AlternateContent xmlns:mc="http://schemas.openxmlformats.org/markup-compatibility/2006">
          <mc:Choice Requires="x14">
            <control shapeId="47137" r:id="rId18" name="Option Button 33">
              <controlPr defaultSize="0" autoFill="0" autoLine="0" autoPict="0">
                <anchor moveWithCells="1">
                  <from>
                    <xdr:col>6</xdr:col>
                    <xdr:colOff>142875</xdr:colOff>
                    <xdr:row>13</xdr:row>
                    <xdr:rowOff>142875</xdr:rowOff>
                  </from>
                  <to>
                    <xdr:col>6</xdr:col>
                    <xdr:colOff>447675</xdr:colOff>
                    <xdr:row>13</xdr:row>
                    <xdr:rowOff>371475</xdr:rowOff>
                  </to>
                </anchor>
              </controlPr>
            </control>
          </mc:Choice>
        </mc:AlternateContent>
        <mc:AlternateContent xmlns:mc="http://schemas.openxmlformats.org/markup-compatibility/2006">
          <mc:Choice Requires="x14">
            <control shapeId="47138" r:id="rId19" name="Option Button 34">
              <controlPr defaultSize="0" autoFill="0" autoLine="0" autoPict="0">
                <anchor moveWithCells="1">
                  <from>
                    <xdr:col>6</xdr:col>
                    <xdr:colOff>142875</xdr:colOff>
                    <xdr:row>14</xdr:row>
                    <xdr:rowOff>76200</xdr:rowOff>
                  </from>
                  <to>
                    <xdr:col>6</xdr:col>
                    <xdr:colOff>447675</xdr:colOff>
                    <xdr:row>14</xdr:row>
                    <xdr:rowOff>295275</xdr:rowOff>
                  </to>
                </anchor>
              </controlPr>
            </control>
          </mc:Choice>
        </mc:AlternateContent>
        <mc:AlternateContent xmlns:mc="http://schemas.openxmlformats.org/markup-compatibility/2006">
          <mc:Choice Requires="x14">
            <control shapeId="47139" r:id="rId20" name="Option Button 35">
              <controlPr defaultSize="0" autoFill="0" autoLine="0" autoPict="0">
                <anchor moveWithCells="1">
                  <from>
                    <xdr:col>6</xdr:col>
                    <xdr:colOff>142875</xdr:colOff>
                    <xdr:row>15</xdr:row>
                    <xdr:rowOff>152400</xdr:rowOff>
                  </from>
                  <to>
                    <xdr:col>6</xdr:col>
                    <xdr:colOff>447675</xdr:colOff>
                    <xdr:row>15</xdr:row>
                    <xdr:rowOff>371475</xdr:rowOff>
                  </to>
                </anchor>
              </controlPr>
            </control>
          </mc:Choice>
        </mc:AlternateContent>
        <mc:AlternateContent xmlns:mc="http://schemas.openxmlformats.org/markup-compatibility/2006">
          <mc:Choice Requires="x14">
            <control shapeId="47140" r:id="rId21" name="Option Button 36">
              <controlPr defaultSize="0" autoFill="0" autoLine="0" autoPict="0">
                <anchor moveWithCells="1">
                  <from>
                    <xdr:col>6</xdr:col>
                    <xdr:colOff>142875</xdr:colOff>
                    <xdr:row>16</xdr:row>
                    <xdr:rowOff>142875</xdr:rowOff>
                  </from>
                  <to>
                    <xdr:col>6</xdr:col>
                    <xdr:colOff>447675</xdr:colOff>
                    <xdr:row>16</xdr:row>
                    <xdr:rowOff>352425</xdr:rowOff>
                  </to>
                </anchor>
              </controlPr>
            </control>
          </mc:Choice>
        </mc:AlternateContent>
        <mc:AlternateContent xmlns:mc="http://schemas.openxmlformats.org/markup-compatibility/2006">
          <mc:Choice Requires="x14">
            <control shapeId="47141" r:id="rId22" name="Group Box 37">
              <controlPr defaultSize="0" autoFill="0" autoPict="0">
                <anchor moveWithCells="1">
                  <from>
                    <xdr:col>6</xdr:col>
                    <xdr:colOff>0</xdr:colOff>
                    <xdr:row>17</xdr:row>
                    <xdr:rowOff>0</xdr:rowOff>
                  </from>
                  <to>
                    <xdr:col>6</xdr:col>
                    <xdr:colOff>485775</xdr:colOff>
                    <xdr:row>22</xdr:row>
                    <xdr:rowOff>0</xdr:rowOff>
                  </to>
                </anchor>
              </controlPr>
            </control>
          </mc:Choice>
        </mc:AlternateContent>
        <mc:AlternateContent xmlns:mc="http://schemas.openxmlformats.org/markup-compatibility/2006">
          <mc:Choice Requires="x14">
            <control shapeId="47142" r:id="rId23" name="Option Button 38">
              <controlPr defaultSize="0" autoFill="0" autoLine="0" autoPict="0">
                <anchor moveWithCells="1">
                  <from>
                    <xdr:col>6</xdr:col>
                    <xdr:colOff>142875</xdr:colOff>
                    <xdr:row>17</xdr:row>
                    <xdr:rowOff>180975</xdr:rowOff>
                  </from>
                  <to>
                    <xdr:col>6</xdr:col>
                    <xdr:colOff>447675</xdr:colOff>
                    <xdr:row>17</xdr:row>
                    <xdr:rowOff>419100</xdr:rowOff>
                  </to>
                </anchor>
              </controlPr>
            </control>
          </mc:Choice>
        </mc:AlternateContent>
        <mc:AlternateContent xmlns:mc="http://schemas.openxmlformats.org/markup-compatibility/2006">
          <mc:Choice Requires="x14">
            <control shapeId="47143" r:id="rId24" name="Option Button 39">
              <controlPr defaultSize="0" autoFill="0" autoLine="0" autoPict="0">
                <anchor moveWithCells="1">
                  <from>
                    <xdr:col>6</xdr:col>
                    <xdr:colOff>142875</xdr:colOff>
                    <xdr:row>18</xdr:row>
                    <xdr:rowOff>142875</xdr:rowOff>
                  </from>
                  <to>
                    <xdr:col>6</xdr:col>
                    <xdr:colOff>447675</xdr:colOff>
                    <xdr:row>18</xdr:row>
                    <xdr:rowOff>371475</xdr:rowOff>
                  </to>
                </anchor>
              </controlPr>
            </control>
          </mc:Choice>
        </mc:AlternateContent>
        <mc:AlternateContent xmlns:mc="http://schemas.openxmlformats.org/markup-compatibility/2006">
          <mc:Choice Requires="x14">
            <control shapeId="47144" r:id="rId25" name="Option Button 40">
              <controlPr defaultSize="0" autoFill="0" autoLine="0" autoPict="0">
                <anchor moveWithCells="1">
                  <from>
                    <xdr:col>6</xdr:col>
                    <xdr:colOff>142875</xdr:colOff>
                    <xdr:row>19</xdr:row>
                    <xdr:rowOff>66675</xdr:rowOff>
                  </from>
                  <to>
                    <xdr:col>6</xdr:col>
                    <xdr:colOff>447675</xdr:colOff>
                    <xdr:row>19</xdr:row>
                    <xdr:rowOff>333375</xdr:rowOff>
                  </to>
                </anchor>
              </controlPr>
            </control>
          </mc:Choice>
        </mc:AlternateContent>
        <mc:AlternateContent xmlns:mc="http://schemas.openxmlformats.org/markup-compatibility/2006">
          <mc:Choice Requires="x14">
            <control shapeId="47145" r:id="rId26" name="Option Button 41">
              <controlPr defaultSize="0" autoFill="0" autoLine="0" autoPict="0">
                <anchor moveWithCells="1">
                  <from>
                    <xdr:col>6</xdr:col>
                    <xdr:colOff>142875</xdr:colOff>
                    <xdr:row>20</xdr:row>
                    <xdr:rowOff>104775</xdr:rowOff>
                  </from>
                  <to>
                    <xdr:col>6</xdr:col>
                    <xdr:colOff>447675</xdr:colOff>
                    <xdr:row>20</xdr:row>
                    <xdr:rowOff>352425</xdr:rowOff>
                  </to>
                </anchor>
              </controlPr>
            </control>
          </mc:Choice>
        </mc:AlternateContent>
        <mc:AlternateContent xmlns:mc="http://schemas.openxmlformats.org/markup-compatibility/2006">
          <mc:Choice Requires="x14">
            <control shapeId="47146" r:id="rId27" name="Option Button 42">
              <controlPr defaultSize="0" autoFill="0" autoLine="0" autoPict="0">
                <anchor moveWithCells="1">
                  <from>
                    <xdr:col>6</xdr:col>
                    <xdr:colOff>142875</xdr:colOff>
                    <xdr:row>21</xdr:row>
                    <xdr:rowOff>85725</xdr:rowOff>
                  </from>
                  <to>
                    <xdr:col>6</xdr:col>
                    <xdr:colOff>447675</xdr:colOff>
                    <xdr:row>21</xdr:row>
                    <xdr:rowOff>371475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21">
    <pageSetUpPr fitToPage="1"/>
  </sheetPr>
  <dimension ref="A1:AX8"/>
  <sheetViews>
    <sheetView zoomScale="90" zoomScaleNormal="90" workbookViewId="0">
      <pane ySplit="2" topLeftCell="A3" activePane="bottomLeft" state="frozen"/>
      <selection activeCell="F19" sqref="F19"/>
      <selection pane="bottomLeft" activeCell="D17" sqref="D17"/>
    </sheetView>
  </sheetViews>
  <sheetFormatPr baseColWidth="10" defaultColWidth="11.42578125" defaultRowHeight="21.75" customHeight="1"/>
  <cols>
    <col min="1" max="1" width="4.42578125" style="9" customWidth="1"/>
    <col min="2" max="2" width="48.5703125" style="9" customWidth="1"/>
    <col min="3" max="3" width="9.42578125" style="62" customWidth="1"/>
    <col min="4" max="4" width="80.85546875" style="20" customWidth="1"/>
    <col min="5" max="5" width="18" style="20" customWidth="1"/>
    <col min="6" max="6" width="12.42578125" style="3" customWidth="1"/>
    <col min="7" max="7" width="7.42578125" style="3" customWidth="1"/>
    <col min="8" max="8" width="12.42578125" style="3" customWidth="1"/>
    <col min="9" max="9" width="9.42578125" style="7" hidden="1" customWidth="1"/>
    <col min="10" max="10" width="12.85546875" style="7" hidden="1" customWidth="1"/>
    <col min="11" max="11" width="41.85546875" style="3" customWidth="1"/>
    <col min="12" max="16384" width="11.42578125" style="3"/>
  </cols>
  <sheetData>
    <row r="1" spans="1:50" s="2" customFormat="1" ht="21.75" customHeight="1">
      <c r="A1" s="98" t="s">
        <v>285</v>
      </c>
      <c r="B1" s="113"/>
      <c r="C1" s="63" t="s">
        <v>261</v>
      </c>
      <c r="D1" s="75"/>
      <c r="E1" s="75"/>
      <c r="F1" s="76"/>
      <c r="G1" s="218" t="s">
        <v>10</v>
      </c>
      <c r="H1" s="117">
        <f>'4_Nachweiserbringung'!F91</f>
        <v>0</v>
      </c>
      <c r="I1" s="64"/>
      <c r="J1" s="64"/>
      <c r="K1" s="77"/>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1"/>
      <c r="AX1" s="1"/>
    </row>
    <row r="2" spans="1:50" s="4" customFormat="1" ht="66" customHeight="1">
      <c r="A2" s="79" t="s">
        <v>11</v>
      </c>
      <c r="B2" s="80" t="s">
        <v>12</v>
      </c>
      <c r="C2" s="81" t="s">
        <v>13</v>
      </c>
      <c r="D2" s="82" t="s">
        <v>14</v>
      </c>
      <c r="E2" s="82" t="s">
        <v>76</v>
      </c>
      <c r="F2" s="82" t="s">
        <v>16</v>
      </c>
      <c r="G2" s="81" t="s">
        <v>17</v>
      </c>
      <c r="H2" s="82" t="s">
        <v>18</v>
      </c>
      <c r="I2" s="83" t="s">
        <v>19</v>
      </c>
      <c r="J2" s="83" t="s">
        <v>14</v>
      </c>
      <c r="K2" s="85" t="s">
        <v>20</v>
      </c>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0" ht="33.75" customHeight="1">
      <c r="A3" s="86">
        <v>34</v>
      </c>
      <c r="B3" s="110" t="s">
        <v>286</v>
      </c>
      <c r="C3" s="66">
        <v>0</v>
      </c>
      <c r="D3" s="59" t="s">
        <v>22</v>
      </c>
      <c r="E3" s="114">
        <v>102.4</v>
      </c>
      <c r="F3" s="44">
        <v>0</v>
      </c>
      <c r="G3" s="29"/>
      <c r="H3" s="30"/>
      <c r="I3" s="7">
        <v>1</v>
      </c>
      <c r="J3" s="87" t="s">
        <v>23</v>
      </c>
      <c r="K3" s="538" t="s">
        <v>287</v>
      </c>
    </row>
    <row r="4" spans="1:50" ht="23.25" customHeight="1">
      <c r="A4" s="72"/>
      <c r="B4" s="536" t="s">
        <v>443</v>
      </c>
      <c r="C4" s="66" t="s">
        <v>8</v>
      </c>
      <c r="D4" s="111" t="s">
        <v>288</v>
      </c>
      <c r="E4" s="115">
        <v>50</v>
      </c>
      <c r="F4" s="10">
        <v>9.1899999999999996E-2</v>
      </c>
      <c r="G4" s="6"/>
      <c r="H4" s="11"/>
      <c r="I4" s="7">
        <f>1-SUM(A_TOT,B_TOT,C_TOT,D_TOT,E_TOT)</f>
        <v>1</v>
      </c>
      <c r="J4" s="7" t="s">
        <v>272</v>
      </c>
      <c r="K4" s="539"/>
    </row>
    <row r="5" spans="1:50" ht="23.25" customHeight="1">
      <c r="A5" s="72"/>
      <c r="B5" s="514"/>
      <c r="C5" s="66" t="s">
        <v>28</v>
      </c>
      <c r="D5" s="112" t="s">
        <v>289</v>
      </c>
      <c r="E5" s="115">
        <v>25</v>
      </c>
      <c r="F5" s="10">
        <v>0.1358</v>
      </c>
      <c r="G5" s="6"/>
      <c r="H5" s="11"/>
      <c r="K5" s="539"/>
    </row>
    <row r="6" spans="1:50" ht="30" customHeight="1">
      <c r="A6" s="72"/>
      <c r="B6" s="521" t="s">
        <v>290</v>
      </c>
      <c r="C6" s="66" t="s">
        <v>31</v>
      </c>
      <c r="D6" s="112" t="s">
        <v>291</v>
      </c>
      <c r="E6" s="115">
        <v>10</v>
      </c>
      <c r="F6" s="10">
        <v>0.16250000000000001</v>
      </c>
      <c r="G6" s="6"/>
      <c r="H6" s="11"/>
      <c r="K6" s="539"/>
    </row>
    <row r="7" spans="1:50" ht="30" customHeight="1">
      <c r="A7" s="73"/>
      <c r="B7" s="537"/>
      <c r="C7" s="67" t="s">
        <v>33</v>
      </c>
      <c r="D7" s="61" t="s">
        <v>292</v>
      </c>
      <c r="E7" s="116">
        <v>2.5</v>
      </c>
      <c r="F7" s="14">
        <v>0.17499999999999999</v>
      </c>
      <c r="G7" s="15"/>
      <c r="H7" s="16">
        <f>(IF(I3=1,F3,(IF(I3=2,F4,IF(I3=3,F5,IF(I3=4,F6,IF(I3=5,F7,"")))))))*I4</f>
        <v>0</v>
      </c>
      <c r="I7" s="88">
        <f>IF(I3=1,F3,(IF(I3=2,F4,IF(I3=3,F5,IF(I3=4,F6,IF(I3=5,F7,""))))))</f>
        <v>0</v>
      </c>
      <c r="J7" s="7" t="s">
        <v>35</v>
      </c>
      <c r="K7" s="540"/>
    </row>
    <row r="8" spans="1:50" ht="21.75" customHeight="1">
      <c r="H8" s="78">
        <f>SUM(H7)</f>
        <v>0</v>
      </c>
    </row>
  </sheetData>
  <mergeCells count="3">
    <mergeCell ref="B4:B5"/>
    <mergeCell ref="B6:B7"/>
    <mergeCell ref="K3:K7"/>
  </mergeCells>
  <pageMargins left="0.7" right="0.7" top="0.78740157499999996" bottom="0.78740157499999996" header="0.3" footer="0.3"/>
  <pageSetup paperSize="9" scale="57" fitToHeight="2" orientation="landscape" horizontalDpi="300" r:id="rId1"/>
  <drawing r:id="rId2"/>
  <legacyDrawing r:id="rId3"/>
  <mc:AlternateContent xmlns:mc="http://schemas.openxmlformats.org/markup-compatibility/2006">
    <mc:Choice Requires="x14">
      <controls>
        <mc:AlternateContent xmlns:mc="http://schemas.openxmlformats.org/markup-compatibility/2006">
          <mc:Choice Requires="x14">
            <control shapeId="48129" r:id="rId4" name="Group Box 1">
              <controlPr defaultSize="0" autoFill="0" autoPict="0">
                <anchor moveWithCells="1">
                  <from>
                    <xdr:col>6</xdr:col>
                    <xdr:colOff>0</xdr:colOff>
                    <xdr:row>2</xdr:row>
                    <xdr:rowOff>9525</xdr:rowOff>
                  </from>
                  <to>
                    <xdr:col>7</xdr:col>
                    <xdr:colOff>38100</xdr:colOff>
                    <xdr:row>7</xdr:row>
                    <xdr:rowOff>9525</xdr:rowOff>
                  </to>
                </anchor>
              </controlPr>
            </control>
          </mc:Choice>
        </mc:AlternateContent>
        <mc:AlternateContent xmlns:mc="http://schemas.openxmlformats.org/markup-compatibility/2006">
          <mc:Choice Requires="x14">
            <control shapeId="48130" r:id="rId5" name="Option Button 2">
              <controlPr defaultSize="0" autoFill="0" autoLine="0" autoPict="0">
                <anchor moveWithCells="1">
                  <from>
                    <xdr:col>6</xdr:col>
                    <xdr:colOff>152400</xdr:colOff>
                    <xdr:row>2</xdr:row>
                    <xdr:rowOff>38100</xdr:rowOff>
                  </from>
                  <to>
                    <xdr:col>6</xdr:col>
                    <xdr:colOff>457200</xdr:colOff>
                    <xdr:row>2</xdr:row>
                    <xdr:rowOff>295275</xdr:rowOff>
                  </to>
                </anchor>
              </controlPr>
            </control>
          </mc:Choice>
        </mc:AlternateContent>
        <mc:AlternateContent xmlns:mc="http://schemas.openxmlformats.org/markup-compatibility/2006">
          <mc:Choice Requires="x14">
            <control shapeId="48131" r:id="rId6" name="Option Button 3">
              <controlPr defaultSize="0" autoFill="0" autoLine="0" autoPict="0">
                <anchor moveWithCells="1">
                  <from>
                    <xdr:col>6</xdr:col>
                    <xdr:colOff>152400</xdr:colOff>
                    <xdr:row>3</xdr:row>
                    <xdr:rowOff>28575</xdr:rowOff>
                  </from>
                  <to>
                    <xdr:col>7</xdr:col>
                    <xdr:colOff>0</xdr:colOff>
                    <xdr:row>3</xdr:row>
                    <xdr:rowOff>257175</xdr:rowOff>
                  </to>
                </anchor>
              </controlPr>
            </control>
          </mc:Choice>
        </mc:AlternateContent>
        <mc:AlternateContent xmlns:mc="http://schemas.openxmlformats.org/markup-compatibility/2006">
          <mc:Choice Requires="x14">
            <control shapeId="48132" r:id="rId7" name="Option Button 4">
              <controlPr defaultSize="0" autoFill="0" autoLine="0" autoPict="0">
                <anchor moveWithCells="1">
                  <from>
                    <xdr:col>6</xdr:col>
                    <xdr:colOff>152400</xdr:colOff>
                    <xdr:row>4</xdr:row>
                    <xdr:rowOff>38100</xdr:rowOff>
                  </from>
                  <to>
                    <xdr:col>6</xdr:col>
                    <xdr:colOff>390525</xdr:colOff>
                    <xdr:row>4</xdr:row>
                    <xdr:rowOff>257175</xdr:rowOff>
                  </to>
                </anchor>
              </controlPr>
            </control>
          </mc:Choice>
        </mc:AlternateContent>
        <mc:AlternateContent xmlns:mc="http://schemas.openxmlformats.org/markup-compatibility/2006">
          <mc:Choice Requires="x14">
            <control shapeId="48133" r:id="rId8" name="Option Button 5">
              <controlPr defaultSize="0" autoFill="0" autoLine="0" autoPict="0">
                <anchor moveWithCells="1">
                  <from>
                    <xdr:col>6</xdr:col>
                    <xdr:colOff>152400</xdr:colOff>
                    <xdr:row>5</xdr:row>
                    <xdr:rowOff>85725</xdr:rowOff>
                  </from>
                  <to>
                    <xdr:col>7</xdr:col>
                    <xdr:colOff>28575</xdr:colOff>
                    <xdr:row>5</xdr:row>
                    <xdr:rowOff>304800</xdr:rowOff>
                  </to>
                </anchor>
              </controlPr>
            </control>
          </mc:Choice>
        </mc:AlternateContent>
        <mc:AlternateContent xmlns:mc="http://schemas.openxmlformats.org/markup-compatibility/2006">
          <mc:Choice Requires="x14">
            <control shapeId="48134" r:id="rId9" name="Option Button 6">
              <controlPr defaultSize="0" autoFill="0" autoLine="0" autoPict="0">
                <anchor moveWithCells="1">
                  <from>
                    <xdr:col>6</xdr:col>
                    <xdr:colOff>152400</xdr:colOff>
                    <xdr:row>6</xdr:row>
                    <xdr:rowOff>66675</xdr:rowOff>
                  </from>
                  <to>
                    <xdr:col>6</xdr:col>
                    <xdr:colOff>381000</xdr:colOff>
                    <xdr:row>6</xdr:row>
                    <xdr:rowOff>295275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A431560F5E7F942AD029CB350766D63" ma:contentTypeVersion="4" ma:contentTypeDescription="Ein neues Dokument erstellen." ma:contentTypeScope="" ma:versionID="e0043b7913633a22fa69799d271d97ea">
  <xsd:schema xmlns:xsd="http://www.w3.org/2001/XMLSchema" xmlns:xs="http://www.w3.org/2001/XMLSchema" xmlns:p="http://schemas.microsoft.com/office/2006/metadata/properties" xmlns:ns2="0a6caaa6-73e2-4c80-8aa4-04baa0ef9b8e" targetNamespace="http://schemas.microsoft.com/office/2006/metadata/properties" ma:root="true" ma:fieldsID="0507c05b7bf0f11446293c16293365b5" ns2:_="">
    <xsd:import namespace="0a6caaa6-73e2-4c80-8aa4-04baa0ef9b8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6caaa6-73e2-4c80-8aa4-04baa0ef9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3FB255-B9D0-40C6-90CC-0C69BCA3DB6F}">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0a6caaa6-73e2-4c80-8aa4-04baa0ef9b8e"/>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55CC7D7-FB4F-4635-B2A1-6DF926E300E4}">
  <ds:schemaRefs>
    <ds:schemaRef ds:uri="http://schemas.microsoft.com/sharepoint/v3/contenttype/forms"/>
  </ds:schemaRefs>
</ds:datastoreItem>
</file>

<file path=customXml/itemProps3.xml><?xml version="1.0" encoding="utf-8"?>
<ds:datastoreItem xmlns:ds="http://schemas.openxmlformats.org/officeDocument/2006/customXml" ds:itemID="{260890F7-6AAF-4D30-A68F-8DDFDDD200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6caaa6-73e2-4c80-8aa4-04baa0ef9b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115</vt:i4>
      </vt:variant>
    </vt:vector>
  </HeadingPairs>
  <TitlesOfParts>
    <vt:vector size="126" baseType="lpstr">
      <vt:lpstr>1_Willkommen</vt:lpstr>
      <vt:lpstr>2_Grunddaten</vt:lpstr>
      <vt:lpstr>Übersicht 3A-F</vt:lpstr>
      <vt:lpstr>3A_Milchprodukte</vt:lpstr>
      <vt:lpstr>3B_Fleisch</vt:lpstr>
      <vt:lpstr>3C_Transport, Gemüse, Bio</vt:lpstr>
      <vt:lpstr>3D_Menüzusammensetzung</vt:lpstr>
      <vt:lpstr>3E_Vegan_Vegetarisch</vt:lpstr>
      <vt:lpstr>3F_Foodwaste</vt:lpstr>
      <vt:lpstr>4_Nachweiserbringung</vt:lpstr>
      <vt:lpstr>4_Berechnung</vt:lpstr>
      <vt:lpstr>A_TOT</vt:lpstr>
      <vt:lpstr>A_TOT_real</vt:lpstr>
      <vt:lpstr>Ang_Vegan_31</vt:lpstr>
      <vt:lpstr>Ang_Veget_30</vt:lpstr>
      <vt:lpstr>Anteil_Huelsen_26</vt:lpstr>
      <vt:lpstr>Anteil_Soja_zert_24</vt:lpstr>
      <vt:lpstr>B_TOT</vt:lpstr>
      <vt:lpstr>B_TOT_gr</vt:lpstr>
      <vt:lpstr>B_TOT_real</vt:lpstr>
      <vt:lpstr>Butter_3</vt:lpstr>
      <vt:lpstr>C_TOT</vt:lpstr>
      <vt:lpstr>D_TOT</vt:lpstr>
      <vt:lpstr>date1</vt:lpstr>
      <vt:lpstr>'3A_Milchprodukte'!Druckbereich</vt:lpstr>
      <vt:lpstr>'3B_Fleisch'!Druckbereich</vt:lpstr>
      <vt:lpstr>'3C_Transport, Gemüse, Bio'!Druckbereich</vt:lpstr>
      <vt:lpstr>'3D_Menüzusammensetzung'!Druckbereich</vt:lpstr>
      <vt:lpstr>'3E_Vegan_Vegetarisch'!Druckbereich</vt:lpstr>
      <vt:lpstr>'3F_Foodwaste'!Druckbereich</vt:lpstr>
      <vt:lpstr>'4_Nachweiserbringung'!Druckbereich</vt:lpstr>
      <vt:lpstr>E_TOT</vt:lpstr>
      <vt:lpstr>E_TOT_gr</vt:lpstr>
      <vt:lpstr>F_TOT</vt:lpstr>
      <vt:lpstr>Fisch_11</vt:lpstr>
      <vt:lpstr>Fisch_13</vt:lpstr>
      <vt:lpstr>Fisch_18</vt:lpstr>
      <vt:lpstr>Foodwaste_34</vt:lpstr>
      <vt:lpstr>Foss_Heiz_20</vt:lpstr>
      <vt:lpstr>from_1</vt:lpstr>
      <vt:lpstr>Gefluegel_11</vt:lpstr>
      <vt:lpstr>Gefluegel_13</vt:lpstr>
      <vt:lpstr>Gefluegel_15</vt:lpstr>
      <vt:lpstr>Gefluegel_18</vt:lpstr>
      <vt:lpstr>Gefluegel_Nose_16</vt:lpstr>
      <vt:lpstr>Hartkaese_5</vt:lpstr>
      <vt:lpstr>Joghurt_1</vt:lpstr>
      <vt:lpstr>Kaese_4</vt:lpstr>
      <vt:lpstr>Kalb_11</vt:lpstr>
      <vt:lpstr>Kalb_13</vt:lpstr>
      <vt:lpstr>Kalb_18</vt:lpstr>
      <vt:lpstr>Kalb_7</vt:lpstr>
      <vt:lpstr>Kalb_8</vt:lpstr>
      <vt:lpstr>Kalb_9</vt:lpstr>
      <vt:lpstr>Korr28</vt:lpstr>
      <vt:lpstr>Milch_1</vt:lpstr>
      <vt:lpstr>name1</vt:lpstr>
      <vt:lpstr>no_total_1</vt:lpstr>
      <vt:lpstr>no_total_30</vt:lpstr>
      <vt:lpstr>no_total_31</vt:lpstr>
      <vt:lpstr>no_total_32</vt:lpstr>
      <vt:lpstr>no_total_33</vt:lpstr>
      <vt:lpstr>Nuesse_25</vt:lpstr>
      <vt:lpstr>Prime_Kalb_10</vt:lpstr>
      <vt:lpstr>Prime_Rind_10</vt:lpstr>
      <vt:lpstr>Prime_Schwein_10</vt:lpstr>
      <vt:lpstr>Rahm_2</vt:lpstr>
      <vt:lpstr>Red_Trans_22</vt:lpstr>
      <vt:lpstr>Rind_11</vt:lpstr>
      <vt:lpstr>Rind_13</vt:lpstr>
      <vt:lpstr>Rind_18</vt:lpstr>
      <vt:lpstr>Rind_7</vt:lpstr>
      <vt:lpstr>Rind_8</vt:lpstr>
      <vt:lpstr>Rind_9</vt:lpstr>
      <vt:lpstr>Schwein_11</vt:lpstr>
      <vt:lpstr>Schwein_13</vt:lpstr>
      <vt:lpstr>Schwein_14</vt:lpstr>
      <vt:lpstr>Schwein_18</vt:lpstr>
      <vt:lpstr>Schwein_9</vt:lpstr>
      <vt:lpstr>Surplus_Fleisch_12</vt:lpstr>
      <vt:lpstr>Surplus_Gemuese_19</vt:lpstr>
      <vt:lpstr>to_1</vt:lpstr>
      <vt:lpstr>Tot_Fleisch_28</vt:lpstr>
      <vt:lpstr>Tot_Gemuese_27</vt:lpstr>
      <vt:lpstr>Tot_Milch_18</vt:lpstr>
      <vt:lpstr>Tot_Milch_6</vt:lpstr>
      <vt:lpstr>Var_C</vt:lpstr>
      <vt:lpstr>Var28_real</vt:lpstr>
      <vt:lpstr>Variable1</vt:lpstr>
      <vt:lpstr>Variable10</vt:lpstr>
      <vt:lpstr>Variable11</vt:lpstr>
      <vt:lpstr>Variable12</vt:lpstr>
      <vt:lpstr>Variable13</vt:lpstr>
      <vt:lpstr>Variable14</vt:lpstr>
      <vt:lpstr>Variable15</vt:lpstr>
      <vt:lpstr>Variable16</vt:lpstr>
      <vt:lpstr>Variable17</vt:lpstr>
      <vt:lpstr>Variable18</vt:lpstr>
      <vt:lpstr>Variable19</vt:lpstr>
      <vt:lpstr>Variable2</vt:lpstr>
      <vt:lpstr>Variable20</vt:lpstr>
      <vt:lpstr>Variable21</vt:lpstr>
      <vt:lpstr>Variable22</vt:lpstr>
      <vt:lpstr>Variable23</vt:lpstr>
      <vt:lpstr>Variable24</vt:lpstr>
      <vt:lpstr>Variable25</vt:lpstr>
      <vt:lpstr>Variable26</vt:lpstr>
      <vt:lpstr>Variable27</vt:lpstr>
      <vt:lpstr>Variable28</vt:lpstr>
      <vt:lpstr>Variable3</vt:lpstr>
      <vt:lpstr>Variable30</vt:lpstr>
      <vt:lpstr>Variable31</vt:lpstr>
      <vt:lpstr>Variable32</vt:lpstr>
      <vt:lpstr>Variable33</vt:lpstr>
      <vt:lpstr>Variable34</vt:lpstr>
      <vt:lpstr>Variable4</vt:lpstr>
      <vt:lpstr>Variable5</vt:lpstr>
      <vt:lpstr>Variable6</vt:lpstr>
      <vt:lpstr>Variable7</vt:lpstr>
      <vt:lpstr>Variable8</vt:lpstr>
      <vt:lpstr>Variable9</vt:lpstr>
      <vt:lpstr>Verk_Vegan_33</vt:lpstr>
      <vt:lpstr>Verk_Veget_32</vt:lpstr>
      <vt:lpstr>Ware_Bio_23</vt:lpstr>
      <vt:lpstr>Ware_Flug_21</vt:lpstr>
      <vt:lpstr>Zuchtfisch_17</vt:lpstr>
    </vt:vector>
  </TitlesOfParts>
  <Manager/>
  <Company>Kanton Zürich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Gallmann Basil Sebastian</dc:creator>
  <cp:keywords/>
  <dc:description/>
  <cp:lastModifiedBy>Sarah Böttinger</cp:lastModifiedBy>
  <cp:revision/>
  <cp:lastPrinted>2024-05-17T12:37:42Z</cp:lastPrinted>
  <dcterms:created xsi:type="dcterms:W3CDTF">2022-05-12T10:57:49Z</dcterms:created>
  <dcterms:modified xsi:type="dcterms:W3CDTF">2024-05-22T07:00:50Z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0x0101000A431560F5E7F942AD029CB350766D63</vt:lpwstr>
  </property>
</Properties>
</file>